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0" windowHeight="7020" activeTab="1"/>
  </bookViews>
  <sheets>
    <sheet name="PPU" sheetId="1" r:id="rId1"/>
    <sheet name="CRONOGRAMA" sheetId="2" r:id="rId2"/>
  </sheets>
  <definedNames>
    <definedName name="_xlnm.Print_Area" localSheetId="0">PPU!$A$1:$J$68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0" i="1"/>
  <c r="J40" i="1" s="1"/>
  <c r="I42" i="1"/>
  <c r="I43" i="1"/>
  <c r="I66" i="1" l="1"/>
  <c r="I62" i="1"/>
  <c r="I11" i="1" l="1"/>
  <c r="I51" i="1" l="1"/>
  <c r="I50" i="1"/>
  <c r="G60" i="1" l="1"/>
  <c r="H60" i="1" s="1"/>
  <c r="G59" i="1"/>
  <c r="H59" i="1" s="1"/>
  <c r="I55" i="1" l="1"/>
  <c r="I19" i="1"/>
  <c r="I60" i="1" l="1"/>
  <c r="J60" i="1" s="1"/>
  <c r="I59" i="1"/>
  <c r="J59" i="1" s="1"/>
  <c r="H36" i="1"/>
  <c r="H28" i="1"/>
  <c r="H24" i="1"/>
  <c r="O9" i="2"/>
  <c r="O10" i="2" s="1"/>
  <c r="K9" i="2"/>
  <c r="K10" i="2" s="1"/>
  <c r="L9" i="2"/>
  <c r="L10" i="2" s="1"/>
  <c r="M9" i="2"/>
  <c r="M10" i="2" s="1"/>
  <c r="N9" i="2"/>
  <c r="N10" i="2" s="1"/>
  <c r="J9" i="2"/>
  <c r="J10" i="2" s="1"/>
  <c r="I9" i="2"/>
  <c r="I10" i="2" s="1"/>
  <c r="D23" i="2"/>
  <c r="D21" i="2"/>
  <c r="D19" i="2"/>
  <c r="D15" i="2"/>
  <c r="D17" i="2"/>
  <c r="D11" i="2"/>
  <c r="D13" i="2"/>
  <c r="D9" i="2"/>
  <c r="B9" i="2"/>
  <c r="H11" i="1"/>
  <c r="J11" i="1" s="1"/>
  <c r="J12" i="1" s="1"/>
  <c r="C9" i="2" s="1"/>
  <c r="H9" i="2" s="1"/>
  <c r="H10" i="2" s="1"/>
  <c r="C19" i="2" l="1"/>
  <c r="I26" i="1"/>
  <c r="I30" i="1" l="1"/>
  <c r="I36" i="1"/>
  <c r="J36" i="1" s="1"/>
  <c r="J37" i="1" s="1"/>
  <c r="I58" i="1"/>
  <c r="I56" i="1"/>
  <c r="I23" i="1"/>
  <c r="I32" i="1" l="1"/>
  <c r="I24" i="1"/>
  <c r="H32" i="1"/>
  <c r="H26" i="1"/>
  <c r="J26" i="1" s="1"/>
  <c r="J24" i="1" l="1"/>
  <c r="I28" i="1"/>
  <c r="J28" i="1" s="1"/>
  <c r="J32" i="1"/>
  <c r="H66" i="1"/>
  <c r="H62" i="1"/>
  <c r="H56" i="1"/>
  <c r="H58" i="1"/>
  <c r="H55" i="1"/>
  <c r="H48" i="1"/>
  <c r="H49" i="1"/>
  <c r="H50" i="1"/>
  <c r="H51" i="1"/>
  <c r="H41" i="1"/>
  <c r="H42" i="1"/>
  <c r="H43" i="1"/>
  <c r="H47" i="1"/>
  <c r="H30" i="1"/>
  <c r="H23" i="1"/>
  <c r="H19" i="1"/>
  <c r="J49" i="1" l="1"/>
  <c r="J50" i="1"/>
  <c r="J51" i="1"/>
  <c r="J48" i="1"/>
  <c r="J66" i="1" l="1"/>
  <c r="J58" i="1"/>
  <c r="C21" i="2" s="1"/>
  <c r="J56" i="1"/>
  <c r="J55" i="1"/>
  <c r="J47" i="1"/>
  <c r="J52" i="1" s="1"/>
  <c r="J42" i="1"/>
  <c r="J41" i="1"/>
  <c r="J43" i="1"/>
  <c r="J30" i="1"/>
  <c r="J23" i="1"/>
  <c r="J19" i="1"/>
  <c r="J20" i="1" s="1"/>
  <c r="J33" i="1" l="1"/>
  <c r="C15" i="2"/>
  <c r="J44" i="1"/>
  <c r="C13" i="2" s="1"/>
  <c r="J67" i="1"/>
  <c r="C23" i="2" s="1"/>
  <c r="H15" i="1"/>
  <c r="J15" i="1" s="1"/>
  <c r="J16" i="1" s="1"/>
  <c r="C11" i="2" s="1"/>
  <c r="J62" i="1"/>
  <c r="C17" i="2" s="1"/>
  <c r="J63" i="1" l="1"/>
  <c r="J68" i="1" s="1"/>
  <c r="H6" i="2"/>
  <c r="D25" i="2"/>
  <c r="I5" i="2"/>
  <c r="I6" i="2" s="1"/>
  <c r="J5" i="2" l="1"/>
  <c r="J11" i="2" s="1"/>
  <c r="K5" i="2" l="1"/>
  <c r="K11" i="2" s="1"/>
  <c r="L5" i="2" l="1"/>
  <c r="L11" i="2" s="1"/>
  <c r="K15" i="2"/>
  <c r="L13" i="2" l="1"/>
  <c r="M5" i="2"/>
  <c r="M13" i="2" s="1"/>
  <c r="M14" i="2" s="1"/>
  <c r="H15" i="2"/>
  <c r="H16" i="2" s="1"/>
  <c r="L15" i="2"/>
  <c r="N5" i="2"/>
  <c r="M15" i="2"/>
  <c r="M11" i="2" l="1"/>
  <c r="M12" i="2" s="1"/>
  <c r="H17" i="2"/>
  <c r="N23" i="2"/>
  <c r="N11" i="2"/>
  <c r="N12" i="2" s="1"/>
  <c r="O5" i="2"/>
  <c r="N13" i="2"/>
  <c r="N14" i="2" s="1"/>
  <c r="N15" i="2"/>
  <c r="N16" i="2" s="1"/>
  <c r="M16" i="2"/>
  <c r="H18" i="2" l="1"/>
  <c r="O23" i="2"/>
  <c r="O13" i="2"/>
  <c r="O14" i="2" s="1"/>
  <c r="O11" i="2"/>
  <c r="O12" i="2" s="1"/>
  <c r="O15" i="2"/>
  <c r="O16" i="2" s="1"/>
  <c r="O17" i="2"/>
  <c r="O19" i="2" l="1"/>
  <c r="H19" i="2"/>
  <c r="H20" i="2" l="1"/>
  <c r="H21" i="2"/>
  <c r="H22" i="2" s="1"/>
  <c r="I21" i="2"/>
  <c r="E7" i="2"/>
  <c r="I22" i="2" l="1"/>
  <c r="J6" i="2"/>
  <c r="K6" i="2"/>
  <c r="O7" i="2" l="1"/>
  <c r="L7" i="2"/>
  <c r="I7" i="2"/>
  <c r="H7" i="2"/>
  <c r="N7" i="2"/>
  <c r="K7" i="2"/>
  <c r="M7" i="2"/>
  <c r="J7" i="2"/>
  <c r="O6" i="2"/>
  <c r="M6" i="2"/>
  <c r="N6" i="2"/>
  <c r="L6" i="2"/>
  <c r="I19" i="2" l="1"/>
  <c r="I20" i="2" s="1"/>
  <c r="I13" i="2" l="1"/>
  <c r="J13" i="2"/>
  <c r="K13" i="2"/>
  <c r="M19" i="2"/>
  <c r="N19" i="2"/>
  <c r="L19" i="2"/>
  <c r="M21" i="2"/>
  <c r="N21" i="2"/>
  <c r="O21" i="2"/>
  <c r="O25" i="2" s="1"/>
  <c r="L21" i="2"/>
  <c r="N17" i="2" l="1"/>
  <c r="N25" i="2" s="1"/>
  <c r="M17" i="2"/>
  <c r="L17" i="2"/>
  <c r="K17" i="2"/>
  <c r="J21" i="2"/>
  <c r="J22" i="2" s="1"/>
  <c r="K21" i="2"/>
  <c r="H13" i="2"/>
  <c r="H14" i="2" s="1"/>
  <c r="I14" i="2" s="1"/>
  <c r="J14" i="2" s="1"/>
  <c r="K14" i="2" s="1"/>
  <c r="L14" i="2" s="1"/>
  <c r="C25" i="2" l="1"/>
  <c r="K23" i="2"/>
  <c r="L23" i="2"/>
  <c r="L25" i="2" s="1"/>
  <c r="M23" i="2"/>
  <c r="M25" i="2" s="1"/>
  <c r="I17" i="2"/>
  <c r="J17" i="2"/>
  <c r="K19" i="2"/>
  <c r="J19" i="2"/>
  <c r="I15" i="2"/>
  <c r="J15" i="2"/>
  <c r="K22" i="2"/>
  <c r="L22" i="2" s="1"/>
  <c r="M22" i="2" s="1"/>
  <c r="N22" i="2" s="1"/>
  <c r="O22" i="2" s="1"/>
  <c r="H23" i="2"/>
  <c r="H24" i="2" s="1"/>
  <c r="I23" i="2"/>
  <c r="J23" i="2"/>
  <c r="K25" i="2" l="1"/>
  <c r="H11" i="2"/>
  <c r="I11" i="2"/>
  <c r="I25" i="2" s="1"/>
  <c r="J25" i="2"/>
  <c r="I18" i="2"/>
  <c r="J18" i="2" s="1"/>
  <c r="K18" i="2" s="1"/>
  <c r="L18" i="2" s="1"/>
  <c r="M18" i="2" s="1"/>
  <c r="N18" i="2" s="1"/>
  <c r="O18" i="2" s="1"/>
  <c r="J20" i="2"/>
  <c r="K20" i="2" s="1"/>
  <c r="L20" i="2" s="1"/>
  <c r="M20" i="2" s="1"/>
  <c r="N20" i="2" s="1"/>
  <c r="O20" i="2" s="1"/>
  <c r="I16" i="2"/>
  <c r="J16" i="2" s="1"/>
  <c r="K16" i="2" s="1"/>
  <c r="L16" i="2" s="1"/>
  <c r="I24" i="2"/>
  <c r="J24" i="2" s="1"/>
  <c r="K24" i="2" s="1"/>
  <c r="L24" i="2" s="1"/>
  <c r="M24" i="2" s="1"/>
  <c r="N24" i="2" s="1"/>
  <c r="O24" i="2" s="1"/>
  <c r="H25" i="2" l="1"/>
  <c r="H26" i="2" s="1"/>
  <c r="I26" i="2" s="1"/>
  <c r="J26" i="2" s="1"/>
  <c r="K26" i="2" s="1"/>
  <c r="L26" i="2" s="1"/>
  <c r="M26" i="2" s="1"/>
  <c r="N26" i="2" s="1"/>
  <c r="H12" i="2"/>
  <c r="I12" i="2" s="1"/>
  <c r="J12" i="2" s="1"/>
  <c r="K12" i="2" s="1"/>
  <c r="L12" i="2" s="1"/>
  <c r="O26" i="2" l="1"/>
</calcChain>
</file>

<file path=xl/sharedStrings.xml><?xml version="1.0" encoding="utf-8"?>
<sst xmlns="http://schemas.openxmlformats.org/spreadsheetml/2006/main" count="193" uniqueCount="144">
  <si>
    <t>m²</t>
  </si>
  <si>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</si>
  <si>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</si>
  <si>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</si>
  <si>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</si>
  <si>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</si>
  <si>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</si>
  <si>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</si>
  <si>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</si>
  <si>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</si>
  <si>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</si>
  <si>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>m³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</si>
  <si>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</si>
  <si>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</si>
  <si>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</si>
  <si>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</si>
  <si>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</si>
  <si>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</si>
  <si>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46</t>
  </si>
  <si>
    <t>TUBULAÇÃO E CONDUTORES PARA LÍQUIDOS E GASES.</t>
  </si>
  <si>
    <t>46.12</t>
  </si>
  <si>
    <t>Tubulação em concreto para rede de águas pluviais</t>
  </si>
  <si>
    <t>46.12.150</t>
  </si>
  <si>
    <t>Tubo de concreto (PA-2), DN= 600mm</t>
  </si>
  <si>
    <t>46.12.170</t>
  </si>
  <si>
    <t>Tubo de concreto (PA-2), DN= 1000mm</t>
  </si>
  <si>
    <t>49</t>
  </si>
  <si>
    <t>CAIXA, RALO, GRELHA E ACESSÓRIO HIDRÁULICO</t>
  </si>
  <si>
    <t>49.12</t>
  </si>
  <si>
    <t>Poço de visita / boca de lobo / caixa de passagem e afins</t>
  </si>
  <si>
    <t>49.12.010</t>
  </si>
  <si>
    <t>Boca de lobo simples tipo PMSP com tampa de concreto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</si>
  <si>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</si>
  <si>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</si>
  <si>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</si>
  <si>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</si>
  <si>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</si>
  <si>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</si>
  <si>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54.03</t>
  </si>
  <si>
    <t>Pavimentação flexível</t>
  </si>
  <si>
    <t>54.03.210</t>
  </si>
  <si>
    <t>Camada de rolamento em concreto betuminoso usinado quente - CBUQ</t>
  </si>
  <si>
    <t>Imprimação betuminosa ligante</t>
  </si>
  <si>
    <t>54.06</t>
  </si>
  <si>
    <t>Guias e sarjetas</t>
  </si>
  <si>
    <t>97.04</t>
  </si>
  <si>
    <t>Pintura de sinalização viária</t>
  </si>
  <si>
    <t>97.04.010</t>
  </si>
  <si>
    <t>Sinalização horizontal com tinta vinílica ou acrílica</t>
  </si>
  <si>
    <t>97</t>
  </si>
  <si>
    <t>SINALIZAÇÃO E COMUNICAÇÃO VISUAL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</si>
  <si>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</si>
  <si>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</si>
  <si>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</si>
  <si>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</si>
  <si>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</si>
  <si>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</si>
  <si>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05</t>
  </si>
  <si>
    <t>TRANSPORTE E MOVIMENTAÇÃO, DENTRO E FORA DA OBRA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</si>
  <si>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</si>
  <si>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</si>
  <si>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</si>
  <si>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</si>
  <si>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</si>
  <si>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</si>
  <si>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</si>
  <si>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</si>
  <si>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</si>
  <si>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>07.11</t>
  </si>
  <si>
    <t>Reaterro mecanizado sem fornecimento de material</t>
  </si>
  <si>
    <t>07.11.020</t>
  </si>
  <si>
    <t>Reaterro compactado mecanizado de vala ou cava com compactador</t>
  </si>
  <si>
    <t>46.12.160</t>
  </si>
  <si>
    <t>Tubo de concreto (PA-2), DN= 800mm</t>
  </si>
  <si>
    <t>05.10</t>
  </si>
  <si>
    <t>Transporte mecanizado de solo</t>
  </si>
  <si>
    <t>05.10.020</t>
  </si>
  <si>
    <t>Transporte de solo de 1ª e 2ª categoria por caminhão até o 2° km</t>
  </si>
  <si>
    <t xml:space="preserve">CONVÊNIO: </t>
  </si>
  <si>
    <t xml:space="preserve">LOCAL: PIRAJUÍ </t>
  </si>
  <si>
    <t>49.12.140</t>
  </si>
  <si>
    <t>Poço de visita em alvenaria tipo PMSP - balão</t>
  </si>
  <si>
    <t>11.01.160</t>
  </si>
  <si>
    <t>11.16.020</t>
  </si>
  <si>
    <t>Lançamento, espalhamento e adensamento de concreto ou massa em lastro e/ou enchimento</t>
  </si>
  <si>
    <t>10.02.020</t>
  </si>
  <si>
    <t>kg</t>
  </si>
  <si>
    <t>Armadura em tela soldada de aço - Q 196</t>
  </si>
  <si>
    <t>07.12.030</t>
  </si>
  <si>
    <t>Compactação de aterro mecanizado a 100% PN, sem fornecimento de solo em campo aberto</t>
  </si>
  <si>
    <t>Valor com BDI 22,93 %</t>
  </si>
  <si>
    <t>FONTE: CPOS - 176</t>
  </si>
  <si>
    <t>07.02.020</t>
  </si>
  <si>
    <t>Escavação mecanizada de valas ou cavas com profundidade de até 2 m</t>
  </si>
  <si>
    <t>02</t>
  </si>
  <si>
    <t>INÍCIO, APOIO E ADMINISTRAÇÃO DA OBRA</t>
  </si>
  <si>
    <t>02.08.020</t>
  </si>
  <si>
    <t>Placa de identificação para obra</t>
  </si>
  <si>
    <t>02.08</t>
  </si>
  <si>
    <t>Sinalização de obra</t>
  </si>
  <si>
    <t>PLACA DA OBRA</t>
  </si>
  <si>
    <t>DRENAGEM</t>
  </si>
  <si>
    <t>TERRAPLANAGEM</t>
  </si>
  <si>
    <t>GUIAS E SARJETAS</t>
  </si>
  <si>
    <t>IMPRIMAÇÃO BETUMINOSA LIGANTE</t>
  </si>
  <si>
    <t>RECAPEAMENTO ASFÁLTICO - CBUQ</t>
  </si>
  <si>
    <t>SINALIZAÇÃO VIÁRIA</t>
  </si>
  <si>
    <t>FINISA</t>
  </si>
  <si>
    <t>01</t>
  </si>
  <si>
    <t>SERVIÇO TÉCNICO ESPECIALIZADO</t>
  </si>
  <si>
    <t>01.20</t>
  </si>
  <si>
    <t>Levantamento topográfico e geofísico</t>
  </si>
  <si>
    <t>01.20.751</t>
  </si>
  <si>
    <t>Levantamento planimétrico cadastral com áreas acima de 50% de ocupação - área até 20.000 m² (mínimo de 4.000 m²)</t>
  </si>
  <si>
    <t>07.01.120</t>
  </si>
  <si>
    <t>07.02</t>
  </si>
  <si>
    <t>Escavação mecanizada de valas e buracos em solo, exceto rocha</t>
  </si>
  <si>
    <t>07.12.040</t>
  </si>
  <si>
    <t>Aterro mecanizado por compensação, solo de 1ª categoria em campo aberto, sem compactação do aterro</t>
  </si>
  <si>
    <t>07.12</t>
  </si>
  <si>
    <t>Aterro mecanizado sem fornecimento de material</t>
  </si>
  <si>
    <t>Carga e remoção de terra até a distância média de 3 km</t>
  </si>
  <si>
    <t>07.10</t>
  </si>
  <si>
    <t>Apiloamento e nivelamento mecanizado de solo</t>
  </si>
  <si>
    <t>07.10.020</t>
  </si>
  <si>
    <t>Espalhamento de solo em bota-fora com compactação sem controle</t>
  </si>
  <si>
    <t>08</t>
  </si>
  <si>
    <t>ESCORAMENTO, CONTENÇÃO E DRENAGEM</t>
  </si>
  <si>
    <t>08.01</t>
  </si>
  <si>
    <t>Escoramento</t>
  </si>
  <si>
    <t>08.01.060</t>
  </si>
  <si>
    <t>Escoramento de solo pontaletado</t>
  </si>
  <si>
    <t xml:space="preserve">Obras de Infraestrutura no Bairro Santa Guilhermina no Município de Pirajuí </t>
  </si>
  <si>
    <t>Imprimação betuminosa impermeabilizante</t>
  </si>
  <si>
    <t>Concreto usinado, fck = 30 Mpa (canaletas de concreto)</t>
  </si>
  <si>
    <t>DATA BASE: SETEMBRO 2019</t>
  </si>
  <si>
    <t>46.12.070</t>
  </si>
  <si>
    <t>Tubo de concreto (PS-2), DN= 500mm</t>
  </si>
  <si>
    <t xml:space="preserve">54.03.230 </t>
  </si>
  <si>
    <t xml:space="preserve">54.03.240 </t>
  </si>
  <si>
    <t>54.06.150</t>
  </si>
  <si>
    <t>Execução de perfil extrusado no local</t>
  </si>
  <si>
    <t>OBRA: Infraestrutura da Santa Guilhermina II</t>
  </si>
  <si>
    <t>Obras de Infraestrutura da Santa Guilhermina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</si>
</sst>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0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SansSerif"/>
      <charset val="2"/>
    </font>
    <font>
      <sz val="10"/>
      <color indexed="8"/>
      <name val="Arial"/>
    </font>
    <font>
      <sz val="10"/>
      <color indexed="8"/>
      <name val="SansSerif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2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9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9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9" fillId="10" borderId="0" applyNumberFormat="0" applyBorder="0" applyAlignment="0" applyProtection="0"/>
    <xf numFmtId="0" fontId="17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34" borderId="0" applyNumberFormat="0" applyBorder="0" applyAlignment="0" applyProtection="0"/>
    <xf numFmtId="0" fontId="9" fillId="13" borderId="0" applyNumberFormat="0" applyBorder="0" applyAlignment="0" applyProtection="0"/>
    <xf numFmtId="0" fontId="17" fillId="37" borderId="0" applyNumberFormat="0" applyBorder="0" applyAlignment="0" applyProtection="0"/>
    <xf numFmtId="0" fontId="9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9" fillId="19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9" fillId="24" borderId="0" applyNumberFormat="0" applyBorder="0" applyAlignment="0" applyProtection="0"/>
    <xf numFmtId="0" fontId="17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15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15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15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15" fillId="2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26" borderId="12" applyNumberFormat="0" applyAlignment="0" applyProtection="0"/>
    <xf numFmtId="0" fontId="22" fillId="26" borderId="12" applyNumberFormat="0" applyAlignment="0" applyProtection="0"/>
    <xf numFmtId="0" fontId="22" fillId="40" borderId="12" applyNumberFormat="0" applyAlignment="0" applyProtection="0"/>
    <xf numFmtId="0" fontId="14" fillId="6" borderId="8" applyNumberFormat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23" fillId="48" borderId="13" applyNumberFormat="0" applyAlignment="0" applyProtection="0"/>
    <xf numFmtId="0" fontId="42" fillId="0" borderId="0">
      <alignment vertical="center" wrapText="1"/>
    </xf>
    <xf numFmtId="0" fontId="20" fillId="49" borderId="0" applyNumberFormat="0" applyBorder="0" applyAlignment="0" applyProtection="0"/>
    <xf numFmtId="0" fontId="15" fillId="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5" fillId="1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0" fontId="4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40" fontId="18" fillId="0" borderId="0">
      <alignment vertical="center" wrapText="1"/>
    </xf>
    <xf numFmtId="40" fontId="18" fillId="0" borderId="0">
      <alignment vertical="center" wrapText="1"/>
    </xf>
    <xf numFmtId="40" fontId="18" fillId="0" borderId="0">
      <alignment vertical="center" wrapText="1"/>
    </xf>
    <xf numFmtId="0" fontId="25" fillId="32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1" fillId="31" borderId="0" applyNumberFormat="0" applyBorder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30" fillId="0" borderId="14" applyNumberFormat="0" applyFill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5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5" fillId="0" borderId="0"/>
    <xf numFmtId="0" fontId="18" fillId="0" borderId="0"/>
    <xf numFmtId="0" fontId="5" fillId="0" borderId="0"/>
    <xf numFmtId="0" fontId="41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18" fillId="0" borderId="0"/>
    <xf numFmtId="0" fontId="41" fillId="0" borderId="0"/>
    <xf numFmtId="0" fontId="18" fillId="0" borderId="0"/>
    <xf numFmtId="0" fontId="50" fillId="0" borderId="0"/>
    <xf numFmtId="0" fontId="50" fillId="0" borderId="0"/>
    <xf numFmtId="0" fontId="18" fillId="0" borderId="0">
      <alignment vertical="center"/>
    </xf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/>
    <xf numFmtId="0" fontId="18" fillId="0" borderId="0"/>
    <xf numFmtId="0" fontId="18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45" fillId="0" borderId="0"/>
    <xf numFmtId="0" fontId="18" fillId="0" borderId="0"/>
    <xf numFmtId="0" fontId="45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32" fillId="26" borderId="19" applyNumberFormat="0" applyAlignment="0" applyProtection="0"/>
    <xf numFmtId="0" fontId="32" fillId="26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40" borderId="19" applyNumberFormat="0" applyAlignment="0" applyProtection="0"/>
    <xf numFmtId="0" fontId="13" fillId="6" borderId="9" applyNumberFormat="0" applyAlignment="0" applyProtection="0"/>
    <xf numFmtId="0" fontId="32" fillId="40" borderId="19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10" fillId="0" borderId="5" applyNumberFormat="0" applyFill="0" applyAlignment="0" applyProtection="0"/>
    <xf numFmtId="0" fontId="37" fillId="0" borderId="20" applyNumberFormat="0" applyFill="0" applyAlignment="0" applyProtection="0"/>
    <xf numFmtId="0" fontId="38" fillId="0" borderId="16" applyNumberFormat="0" applyFill="0" applyAlignment="0" applyProtection="0"/>
    <xf numFmtId="0" fontId="11" fillId="0" borderId="6" applyNumberFormat="0" applyFill="0" applyAlignment="0" applyProtection="0"/>
    <xf numFmtId="0" fontId="38" fillId="0" borderId="16" applyNumberFormat="0" applyFill="0" applyAlignment="0" applyProtection="0"/>
    <xf numFmtId="0" fontId="39" fillId="0" borderId="21" applyNumberFormat="0" applyFill="0" applyAlignment="0" applyProtection="0"/>
    <xf numFmtId="0" fontId="12" fillId="0" borderId="7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1" fillId="0" borderId="11" applyNumberFormat="0" applyFill="0" applyAlignment="0" applyProtection="0"/>
    <xf numFmtId="0" fontId="40" fillId="0" borderId="22" applyNumberFormat="0" applyFill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" fillId="0" borderId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7" fillId="50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5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53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7" fillId="54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5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7" fillId="5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5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52" borderId="0" applyNumberFormat="0" applyBorder="0" applyAlignment="0" applyProtection="0"/>
    <xf numFmtId="0" fontId="9" fillId="24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6" borderId="0" applyNumberFormat="0" applyBorder="0" applyAlignment="0" applyProtection="0"/>
    <xf numFmtId="0" fontId="58" fillId="54" borderId="0" applyNumberFormat="0" applyBorder="0" applyAlignment="0" applyProtection="0"/>
    <xf numFmtId="0" fontId="58" fillId="51" borderId="0" applyNumberFormat="0" applyBorder="0" applyAlignment="0" applyProtection="0"/>
    <xf numFmtId="0" fontId="59" fillId="0" borderId="0" applyNumberFormat="0" applyFont="0" applyBorder="0" applyAlignment="0"/>
    <xf numFmtId="0" fontId="60" fillId="54" borderId="0" applyNumberFormat="0" applyBorder="0" applyAlignment="0" applyProtection="0"/>
    <xf numFmtId="0" fontId="61" fillId="59" borderId="12" applyNumberFormat="0" applyAlignment="0" applyProtection="0"/>
    <xf numFmtId="0" fontId="62" fillId="60" borderId="13" applyNumberFormat="0" applyAlignment="0" applyProtection="0"/>
    <xf numFmtId="0" fontId="63" fillId="0" borderId="32" applyNumberFormat="0" applyFill="0" applyAlignment="0" applyProtection="0"/>
    <xf numFmtId="172" fontId="64" fillId="0" borderId="0">
      <protection locked="0"/>
    </xf>
    <xf numFmtId="41" fontId="18" fillId="0" borderId="0" applyFont="0" applyFill="0" applyBorder="0" applyAlignment="0" applyProtection="0"/>
    <xf numFmtId="173" fontId="64" fillId="0" borderId="0">
      <protection locked="0"/>
    </xf>
    <xf numFmtId="174" fontId="64" fillId="0" borderId="0">
      <protection locked="0"/>
    </xf>
    <xf numFmtId="42" fontId="18" fillId="0" borderId="0" applyFont="0" applyFill="0" applyBorder="0" applyAlignment="0" applyProtection="0"/>
    <xf numFmtId="175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58" fillId="61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65" fillId="55" borderId="1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17" fillId="0" borderId="0"/>
    <xf numFmtId="0" fontId="57" fillId="0" borderId="0"/>
    <xf numFmtId="0" fontId="17" fillId="0" borderId="0"/>
    <xf numFmtId="9" fontId="17" fillId="0" borderId="0"/>
    <xf numFmtId="178" fontId="64" fillId="0" borderId="0">
      <protection locked="0"/>
    </xf>
    <xf numFmtId="178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0" fontId="68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52" borderId="18" applyNumberFormat="0" applyAlignment="0" applyProtection="0"/>
    <xf numFmtId="180" fontId="64" fillId="0" borderId="0">
      <protection locked="0"/>
    </xf>
    <xf numFmtId="180" fontId="64" fillId="0" borderId="0">
      <protection locked="0"/>
    </xf>
    <xf numFmtId="0" fontId="70" fillId="0" borderId="33" applyNumberFormat="0" applyFont="0" applyBorder="0" applyAlignment="0"/>
    <xf numFmtId="4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71" fillId="59" borderId="19" applyNumberFormat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8" fillId="0" borderId="0" applyFill="0" applyBorder="0" applyAlignment="0" applyProtection="0"/>
    <xf numFmtId="5" fontId="17" fillId="0" borderId="0" applyFill="0" applyBorder="0" applyAlignment="0" applyProtection="0"/>
    <xf numFmtId="177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7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76" fillId="0" borderId="0" applyNumberFormat="0" applyFill="0" applyBorder="0" applyAlignment="0" applyProtection="0"/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37" applyNumberFormat="0" applyFill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8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3" fillId="0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93" fillId="0" borderId="0" applyNumberFormat="0" applyBorder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44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17" fillId="66" borderId="0" applyNumberFormat="0" applyBorder="0" applyAlignment="0" applyProtection="0"/>
    <xf numFmtId="0" fontId="17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42" borderId="0" applyNumberFormat="0" applyBorder="0" applyAlignment="0" applyProtection="0"/>
    <xf numFmtId="0" fontId="17" fillId="72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39" borderId="0" applyNumberFormat="0" applyBorder="0" applyAlignment="0" applyProtection="0"/>
    <xf numFmtId="0" fontId="17" fillId="68" borderId="0" applyNumberFormat="0" applyBorder="0" applyAlignment="0" applyProtection="0"/>
    <xf numFmtId="0" fontId="17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47" borderId="0" applyNumberFormat="0" applyBorder="0" applyAlignment="0" applyProtection="0"/>
    <xf numFmtId="184" fontId="79" fillId="74" borderId="0" applyBorder="0" applyAlignment="0" applyProtection="0"/>
    <xf numFmtId="0" fontId="25" fillId="32" borderId="0" applyNumberFormat="0" applyBorder="0" applyAlignment="0" applyProtection="0"/>
    <xf numFmtId="185" fontId="80" fillId="59" borderId="38">
      <alignment horizontal="center" vertical="center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3" fillId="0" borderId="0"/>
    <xf numFmtId="3" fontId="84" fillId="0" borderId="0" applyFont="0" applyFill="0" applyBorder="0" applyAlignment="0" applyProtection="0"/>
    <xf numFmtId="0" fontId="83" fillId="0" borderId="0"/>
    <xf numFmtId="3" fontId="35" fillId="64" borderId="0" applyProtection="0">
      <alignment horizontal="center" vertical="center"/>
    </xf>
    <xf numFmtId="0" fontId="18" fillId="0" borderId="0" applyFont="0" applyFill="0" applyProtection="0">
      <alignment vertical="top"/>
    </xf>
    <xf numFmtId="0" fontId="83" fillId="0" borderId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186" fontId="93" fillId="0" borderId="0" applyBorder="0" applyProtection="0"/>
    <xf numFmtId="186" fontId="93" fillId="0" borderId="0" applyBorder="0" applyProtection="0"/>
    <xf numFmtId="0" fontId="93" fillId="0" borderId="0" applyNumberFormat="0" applyBorder="0" applyProtection="0"/>
    <xf numFmtId="187" fontId="94" fillId="0" borderId="0" applyBorder="0" applyProtection="0"/>
    <xf numFmtId="184" fontId="79" fillId="78" borderId="0" applyBorder="0" applyAlignment="0" applyProtection="0"/>
    <xf numFmtId="4" fontId="18" fillId="0" borderId="39">
      <alignment horizontal="right"/>
    </xf>
    <xf numFmtId="188" fontId="19" fillId="0" borderId="0">
      <alignment horizontal="left"/>
    </xf>
    <xf numFmtId="189" fontId="19" fillId="0" borderId="0">
      <alignment horizontal="left"/>
    </xf>
    <xf numFmtId="2" fontId="18" fillId="0" borderId="0" applyFont="0" applyFill="0" applyProtection="0">
      <alignment vertical="top"/>
    </xf>
    <xf numFmtId="0" fontId="95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184" fontId="79" fillId="79" borderId="0" applyBorder="0" applyAlignment="0" applyProtection="0"/>
    <xf numFmtId="0" fontId="21" fillId="31" borderId="0" applyNumberFormat="0" applyBorder="0" applyAlignment="0" applyProtection="0"/>
    <xf numFmtId="0" fontId="85" fillId="0" borderId="0"/>
    <xf numFmtId="167" fontId="8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3" fontId="18" fillId="0" borderId="0" applyFont="0" applyFill="0" applyBorder="0" applyAlignment="0" applyProtection="0"/>
    <xf numFmtId="3" fontId="18" fillId="0" borderId="0"/>
    <xf numFmtId="169" fontId="18" fillId="0" borderId="0" applyFont="0" applyFill="0" applyBorder="0" applyAlignment="0" applyProtection="0"/>
    <xf numFmtId="4" fontId="88" fillId="64" borderId="40" applyProtection="0">
      <alignment horizontal="right"/>
    </xf>
    <xf numFmtId="0" fontId="31" fillId="35" borderId="0" applyNumberFormat="0" applyBorder="0" applyAlignment="0" applyProtection="0"/>
    <xf numFmtId="185" fontId="89" fillId="80" borderId="38">
      <alignment horizontal="center"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41" fillId="0" borderId="0"/>
    <xf numFmtId="0" fontId="41" fillId="0" borderId="0"/>
    <xf numFmtId="0" fontId="87" fillId="0" borderId="0"/>
    <xf numFmtId="0" fontId="18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83" fillId="0" borderId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Alignment="0" applyProtection="0"/>
    <xf numFmtId="9" fontId="9" fillId="0" borderId="0" applyFont="0" applyFill="0" applyBorder="0" applyAlignment="0" applyProtection="0"/>
    <xf numFmtId="0" fontId="96" fillId="0" borderId="0" applyNumberFormat="0" applyBorder="0" applyProtection="0"/>
    <xf numFmtId="190" fontId="96" fillId="0" borderId="0" applyBorder="0" applyProtection="0"/>
    <xf numFmtId="0" fontId="32" fillId="40" borderId="19" applyNumberFormat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3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8" fillId="0" borderId="0"/>
    <xf numFmtId="193" fontId="92" fillId="0" borderId="0"/>
    <xf numFmtId="9" fontId="9" fillId="0" borderId="0" applyFont="0" applyFill="0" applyBorder="0" applyAlignment="0" applyProtection="0"/>
    <xf numFmtId="0" fontId="9" fillId="0" borderId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44" fontId="18" fillId="0" borderId="0" applyFont="0" applyFill="0" applyBorder="0" applyAlignment="0" applyProtection="0"/>
    <xf numFmtId="194" fontId="83" fillId="0" borderId="0"/>
    <xf numFmtId="43" fontId="16" fillId="0" borderId="0" applyFont="0" applyFill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7">
    <xf numFmtId="0" fontId="0" fillId="0" borderId="0" xfId="0"/>
    <xf numFmtId="0" fontId="3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/>
    <xf numFmtId="43" fontId="3" fillId="2" borderId="1" xfId="2" applyFont="1" applyFill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43" fontId="5" fillId="0" borderId="1" xfId="2" applyFont="1" applyBorder="1"/>
    <xf numFmtId="2" fontId="0" fillId="0" borderId="0" xfId="0" applyNumberFormat="1"/>
    <xf numFmtId="0" fontId="9" fillId="0" borderId="0" xfId="3292" applyBorder="1"/>
    <xf numFmtId="0" fontId="9" fillId="0" borderId="30" xfId="3292" applyFill="1" applyBorder="1"/>
    <xf numFmtId="3" fontId="9" fillId="0" borderId="30" xfId="3292" applyNumberFormat="1" applyBorder="1"/>
    <xf numFmtId="4" fontId="9" fillId="0" borderId="30" xfId="3292" applyNumberFormat="1" applyFill="1" applyBorder="1"/>
    <xf numFmtId="0" fontId="102" fillId="82" borderId="30" xfId="3292" applyFont="1" applyFill="1" applyBorder="1" applyAlignment="1">
      <alignment horizontal="center"/>
    </xf>
    <xf numFmtId="3" fontId="102" fillId="82" borderId="30" xfId="3292" applyNumberFormat="1" applyFont="1" applyFill="1" applyBorder="1" applyAlignment="1">
      <alignment horizontal="center"/>
    </xf>
    <xf numFmtId="3" fontId="1" fillId="82" borderId="30" xfId="3292" applyNumberFormat="1" applyFont="1" applyFill="1" applyBorder="1" applyAlignment="1">
      <alignment horizontal="center"/>
    </xf>
    <xf numFmtId="0" fontId="9" fillId="83" borderId="30" xfId="3292" applyFont="1" applyFill="1" applyBorder="1"/>
    <xf numFmtId="43" fontId="5" fillId="0" borderId="1" xfId="2" applyFont="1" applyFill="1" applyBorder="1"/>
    <xf numFmtId="43" fontId="3" fillId="2" borderId="3" xfId="2" applyFont="1" applyFill="1" applyBorder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wrapText="1"/>
    </xf>
    <xf numFmtId="43" fontId="3" fillId="4" borderId="1" xfId="2" applyFont="1" applyFill="1" applyBorder="1"/>
    <xf numFmtId="43" fontId="3" fillId="4" borderId="3" xfId="2" applyFont="1" applyFill="1" applyBorder="1"/>
    <xf numFmtId="43" fontId="53" fillId="4" borderId="24" xfId="493" applyFont="1" applyFill="1" applyBorder="1" applyAlignment="1">
      <alignment horizontal="center" vertical="center"/>
    </xf>
    <xf numFmtId="0" fontId="53" fillId="4" borderId="51" xfId="188" applyFont="1" applyFill="1" applyBorder="1" applyAlignment="1">
      <alignment vertical="center"/>
    </xf>
    <xf numFmtId="0" fontId="0" fillId="0" borderId="0" xfId="0" applyAlignment="1">
      <alignment horizontal="right"/>
    </xf>
    <xf numFmtId="3" fontId="9" fillId="4" borderId="30" xfId="3292" applyNumberFormat="1" applyFill="1" applyBorder="1"/>
    <xf numFmtId="0" fontId="0" fillId="4" borderId="54" xfId="0" applyFill="1" applyBorder="1"/>
    <xf numFmtId="0" fontId="0" fillId="4" borderId="55" xfId="0" applyFill="1" applyBorder="1"/>
    <xf numFmtId="4" fontId="1" fillId="4" borderId="30" xfId="0" applyNumberFormat="1" applyFont="1" applyFill="1" applyBorder="1" applyAlignment="1"/>
    <xf numFmtId="0" fontId="97" fillId="0" borderId="30" xfId="188" applyFont="1" applyFill="1" applyBorder="1" applyAlignment="1">
      <alignment horizontal="center" vertical="center" wrapText="1"/>
    </xf>
    <xf numFmtId="0" fontId="97" fillId="0" borderId="31" xfId="188" applyFont="1" applyFill="1" applyBorder="1" applyAlignment="1">
      <alignment horizontal="center" vertical="center" wrapText="1"/>
    </xf>
    <xf numFmtId="0" fontId="97" fillId="0" borderId="30" xfId="188" applyFont="1" applyFill="1" applyBorder="1" applyAlignment="1">
      <alignment vertical="center" wrapText="1"/>
    </xf>
    <xf numFmtId="0" fontId="3" fillId="4" borderId="56" xfId="1" applyFont="1" applyFill="1" applyBorder="1"/>
    <xf numFmtId="43" fontId="3" fillId="4" borderId="57" xfId="2" applyFont="1" applyFill="1" applyBorder="1"/>
    <xf numFmtId="0" fontId="3" fillId="2" borderId="56" xfId="1" applyFont="1" applyFill="1" applyBorder="1" applyAlignment="1">
      <alignment horizontal="left" vertical="top" wrapText="1"/>
    </xf>
    <xf numFmtId="43" fontId="3" fillId="2" borderId="57" xfId="2" applyFont="1" applyFill="1" applyBorder="1"/>
    <xf numFmtId="0" fontId="5" fillId="0" borderId="56" xfId="1" applyFont="1" applyBorder="1"/>
    <xf numFmtId="2" fontId="0" fillId="0" borderId="57" xfId="0" applyNumberFormat="1" applyBorder="1"/>
    <xf numFmtId="2" fontId="8" fillId="4" borderId="43" xfId="0" applyNumberFormat="1" applyFont="1" applyFill="1" applyBorder="1"/>
    <xf numFmtId="0" fontId="6" fillId="3" borderId="64" xfId="1" applyNumberFormat="1" applyFont="1" applyFill="1" applyBorder="1" applyAlignment="1" applyProtection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left" vertical="center"/>
    </xf>
    <xf numFmtId="0" fontId="7" fillId="0" borderId="65" xfId="1" applyFont="1" applyBorder="1" applyAlignment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center" vertical="center" wrapText="1"/>
    </xf>
    <xf numFmtId="2" fontId="6" fillId="3" borderId="66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3" fontId="5" fillId="5" borderId="1" xfId="2" applyFont="1" applyFill="1" applyBorder="1"/>
    <xf numFmtId="2" fontId="0" fillId="5" borderId="57" xfId="0" applyNumberFormat="1" applyFill="1" applyBorder="1"/>
    <xf numFmtId="0" fontId="0" fillId="0" borderId="69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84" borderId="1" xfId="0" applyFont="1" applyFill="1" applyBorder="1"/>
    <xf numFmtId="2" fontId="1" fillId="84" borderId="57" xfId="0" applyNumberFormat="1" applyFont="1" applyFill="1" applyBorder="1"/>
    <xf numFmtId="2" fontId="1" fillId="84" borderId="3" xfId="0" applyNumberFormat="1" applyFont="1" applyFill="1" applyBorder="1"/>
    <xf numFmtId="0" fontId="1" fillId="84" borderId="70" xfId="0" applyFont="1" applyFill="1" applyBorder="1"/>
    <xf numFmtId="2" fontId="1" fillId="84" borderId="59" xfId="0" applyNumberFormat="1" applyFont="1" applyFill="1" applyBorder="1"/>
    <xf numFmtId="0" fontId="53" fillId="4" borderId="23" xfId="188" applyFont="1" applyFill="1" applyBorder="1" applyAlignment="1">
      <alignment vertical="center"/>
    </xf>
    <xf numFmtId="0" fontId="18" fillId="26" borderId="1" xfId="0" applyFont="1" applyFill="1" applyBorder="1" applyAlignment="1">
      <alignment horizontal="left" vertical="top" wrapText="1"/>
    </xf>
    <xf numFmtId="43" fontId="18" fillId="26" borderId="1" xfId="2" applyFont="1" applyFill="1" applyBorder="1" applyAlignment="1">
      <alignment horizontal="right" vertical="top" wrapText="1"/>
    </xf>
    <xf numFmtId="0" fontId="18" fillId="26" borderId="1" xfId="0" applyFont="1" applyFill="1" applyBorder="1" applyAlignment="1">
      <alignment horizontal="center" vertical="top" wrapText="1"/>
    </xf>
    <xf numFmtId="0" fontId="18" fillId="26" borderId="1" xfId="0" applyFont="1" applyFill="1" applyBorder="1" applyAlignment="1">
      <alignment horizontal="left" vertical="top"/>
    </xf>
    <xf numFmtId="0" fontId="103" fillId="85" borderId="2" xfId="0" applyFont="1" applyFill="1" applyBorder="1" applyAlignment="1">
      <alignment horizontal="left" vertical="top"/>
    </xf>
    <xf numFmtId="0" fontId="104" fillId="85" borderId="2" xfId="0" applyFont="1" applyFill="1" applyBorder="1" applyAlignment="1">
      <alignment horizontal="left" vertical="top" wrapText="1"/>
    </xf>
    <xf numFmtId="0" fontId="3" fillId="85" borderId="1" xfId="1" applyFont="1" applyFill="1" applyBorder="1"/>
    <xf numFmtId="0" fontId="3" fillId="85" borderId="1" xfId="1" applyFont="1" applyFill="1" applyBorder="1" applyAlignment="1"/>
    <xf numFmtId="0" fontId="3" fillId="85" borderId="1" xfId="1" applyFont="1" applyFill="1" applyBorder="1" applyAlignment="1">
      <alignment wrapText="1"/>
    </xf>
    <xf numFmtId="43" fontId="3" fillId="85" borderId="1" xfId="2" applyFont="1" applyFill="1" applyBorder="1"/>
    <xf numFmtId="0" fontId="104" fillId="4" borderId="39" xfId="0" applyFont="1" applyFill="1" applyBorder="1" applyAlignment="1">
      <alignment horizontal="left" vertical="top" wrapText="1"/>
    </xf>
    <xf numFmtId="0" fontId="103" fillId="4" borderId="39" xfId="0" applyFont="1" applyFill="1" applyBorder="1" applyAlignment="1">
      <alignment horizontal="left" vertical="top"/>
    </xf>
    <xf numFmtId="43" fontId="5" fillId="0" borderId="1" xfId="2" applyFont="1" applyBorder="1" applyAlignment="1"/>
    <xf numFmtId="43" fontId="5" fillId="5" borderId="1" xfId="2" applyFont="1" applyFill="1" applyBorder="1" applyAlignment="1"/>
    <xf numFmtId="43" fontId="5" fillId="0" borderId="1" xfId="2" applyFont="1" applyFill="1" applyBorder="1" applyAlignment="1"/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3" borderId="7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6" fillId="3" borderId="39" xfId="1" applyNumberFormat="1" applyFont="1" applyFill="1" applyBorder="1" applyAlignment="1" applyProtection="1">
      <alignment horizontal="center" vertical="center" wrapText="1"/>
    </xf>
    <xf numFmtId="0" fontId="104" fillId="4" borderId="39" xfId="0" applyFont="1" applyFill="1" applyBorder="1" applyAlignment="1">
      <alignment horizontal="center" vertical="top" wrapText="1"/>
    </xf>
    <xf numFmtId="43" fontId="104" fillId="4" borderId="39" xfId="2" applyFont="1" applyFill="1" applyBorder="1" applyAlignment="1">
      <alignment horizontal="right" vertical="top" wrapText="1"/>
    </xf>
    <xf numFmtId="43" fontId="18" fillId="26" borderId="1" xfId="2" applyFont="1" applyFill="1" applyBorder="1" applyAlignment="1">
      <alignment horizontal="center" vertical="top" wrapText="1"/>
    </xf>
    <xf numFmtId="0" fontId="103" fillId="86" borderId="1" xfId="0" applyFont="1" applyFill="1" applyBorder="1" applyAlignment="1">
      <alignment horizontal="left" vertical="top"/>
    </xf>
    <xf numFmtId="0" fontId="104" fillId="86" borderId="1" xfId="0" applyFont="1" applyFill="1" applyBorder="1" applyAlignment="1">
      <alignment horizontal="left" vertical="top" wrapText="1"/>
    </xf>
    <xf numFmtId="0" fontId="104" fillId="86" borderId="1" xfId="0" applyFont="1" applyFill="1" applyBorder="1" applyAlignment="1">
      <alignment horizontal="center" vertical="top" wrapText="1"/>
    </xf>
    <xf numFmtId="43" fontId="104" fillId="86" borderId="1" xfId="2" applyFont="1" applyFill="1" applyBorder="1" applyAlignment="1">
      <alignment horizontal="right" vertical="top" wrapText="1"/>
    </xf>
    <xf numFmtId="0" fontId="103" fillId="86" borderId="2" xfId="0" applyFont="1" applyFill="1" applyBorder="1" applyAlignment="1">
      <alignment horizontal="left" vertical="top"/>
    </xf>
    <xf numFmtId="0" fontId="104" fillId="86" borderId="2" xfId="0" applyFont="1" applyFill="1" applyBorder="1" applyAlignment="1">
      <alignment horizontal="left" vertical="top" wrapText="1"/>
    </xf>
    <xf numFmtId="0" fontId="104" fillId="86" borderId="2" xfId="0" applyFont="1" applyFill="1" applyBorder="1" applyAlignment="1">
      <alignment horizontal="center" vertical="top" wrapText="1"/>
    </xf>
    <xf numFmtId="43" fontId="104" fillId="86" borderId="2" xfId="2" applyFont="1" applyFill="1" applyBorder="1" applyAlignment="1">
      <alignment horizontal="right" vertical="top" wrapText="1"/>
    </xf>
    <xf numFmtId="0" fontId="103" fillId="4" borderId="1" xfId="0" applyFont="1" applyFill="1" applyBorder="1" applyAlignment="1">
      <alignment horizontal="left" vertical="top"/>
    </xf>
    <xf numFmtId="0" fontId="104" fillId="4" borderId="1" xfId="0" applyFont="1" applyFill="1" applyBorder="1" applyAlignment="1">
      <alignment horizontal="left" vertical="top" wrapText="1"/>
    </xf>
    <xf numFmtId="0" fontId="104" fillId="4" borderId="1" xfId="0" applyFont="1" applyFill="1" applyBorder="1" applyAlignment="1">
      <alignment horizontal="center" vertical="top" wrapText="1"/>
    </xf>
    <xf numFmtId="43" fontId="104" fillId="4" borderId="1" xfId="2" applyFont="1" applyFill="1" applyBorder="1" applyAlignment="1">
      <alignment horizontal="right" vertical="top" wrapText="1"/>
    </xf>
    <xf numFmtId="0" fontId="15" fillId="5" borderId="0" xfId="0" applyFont="1" applyFill="1"/>
    <xf numFmtId="43" fontId="18" fillId="5" borderId="1" xfId="2" applyFont="1" applyFill="1" applyBorder="1"/>
    <xf numFmtId="49" fontId="5" fillId="0" borderId="56" xfId="1" applyNumberFormat="1" applyFont="1" applyBorder="1" applyAlignment="1">
      <alignment wrapText="1"/>
    </xf>
    <xf numFmtId="49" fontId="18" fillId="26" borderId="1" xfId="0" applyNumberFormat="1" applyFont="1" applyFill="1" applyBorder="1" applyAlignment="1">
      <alignment horizontal="left" vertical="top" wrapText="1"/>
    </xf>
    <xf numFmtId="0" fontId="105" fillId="26" borderId="1" xfId="0" applyFont="1" applyFill="1" applyBorder="1" applyAlignment="1">
      <alignment horizontal="left" vertical="top" wrapText="1"/>
    </xf>
    <xf numFmtId="0" fontId="106" fillId="26" borderId="1" xfId="0" applyFont="1" applyFill="1" applyBorder="1" applyAlignment="1">
      <alignment horizontal="left" vertical="top"/>
    </xf>
    <xf numFmtId="43" fontId="105" fillId="26" borderId="1" xfId="2" applyFont="1" applyFill="1" applyBorder="1" applyAlignment="1">
      <alignment horizontal="center" vertical="top" wrapText="1"/>
    </xf>
    <xf numFmtId="43" fontId="105" fillId="26" borderId="1" xfId="2" applyFont="1" applyFill="1" applyBorder="1" applyAlignment="1">
      <alignment horizontal="right" vertical="top" wrapText="1"/>
    </xf>
    <xf numFmtId="43" fontId="18" fillId="5" borderId="1" xfId="2" applyFont="1" applyFill="1" applyBorder="1" applyAlignment="1"/>
    <xf numFmtId="0" fontId="5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8" fillId="81" borderId="26" xfId="3" applyNumberFormat="1" applyFont="1" applyFill="1" applyBorder="1" applyAlignment="1" applyProtection="1">
      <alignment horizontal="center" vertical="center" wrapText="1"/>
    </xf>
    <xf numFmtId="0" fontId="98" fillId="81" borderId="27" xfId="3" applyNumberFormat="1" applyFont="1" applyFill="1" applyBorder="1" applyAlignment="1" applyProtection="1">
      <alignment horizontal="center" vertical="center" wrapText="1"/>
    </xf>
    <xf numFmtId="0" fontId="98" fillId="81" borderId="42" xfId="3" applyNumberFormat="1" applyFont="1" applyFill="1" applyBorder="1" applyAlignment="1" applyProtection="1">
      <alignment horizontal="center" vertical="center" wrapText="1"/>
    </xf>
    <xf numFmtId="0" fontId="99" fillId="81" borderId="29" xfId="3" applyFont="1" applyFill="1" applyBorder="1" applyAlignment="1">
      <alignment horizontal="center"/>
    </xf>
    <xf numFmtId="0" fontId="99" fillId="81" borderId="0" xfId="3" applyFont="1" applyFill="1" applyBorder="1" applyAlignment="1">
      <alignment horizontal="center"/>
    </xf>
    <xf numFmtId="0" fontId="99" fillId="81" borderId="41" xfId="3" applyFont="1" applyFill="1" applyBorder="1" applyAlignment="1">
      <alignment horizontal="center"/>
    </xf>
    <xf numFmtId="0" fontId="100" fillId="81" borderId="29" xfId="3" applyFont="1" applyFill="1" applyBorder="1" applyAlignment="1">
      <alignment horizontal="center" vertical="center"/>
    </xf>
    <xf numFmtId="0" fontId="100" fillId="81" borderId="0" xfId="3" applyFont="1" applyFill="1" applyBorder="1" applyAlignment="1">
      <alignment horizontal="center" vertical="center"/>
    </xf>
    <xf numFmtId="0" fontId="100" fillId="81" borderId="41" xfId="3" applyFont="1" applyFill="1" applyBorder="1" applyAlignment="1">
      <alignment horizontal="center" vertical="center"/>
    </xf>
    <xf numFmtId="0" fontId="54" fillId="5" borderId="29" xfId="188" applyFont="1" applyFill="1" applyBorder="1" applyAlignment="1">
      <alignment horizontal="center"/>
    </xf>
    <xf numFmtId="0" fontId="54" fillId="5" borderId="0" xfId="188" applyFont="1" applyFill="1" applyBorder="1" applyAlignment="1">
      <alignment horizontal="center"/>
    </xf>
    <xf numFmtId="0" fontId="54" fillId="5" borderId="41" xfId="188" applyFont="1" applyFill="1" applyBorder="1" applyAlignment="1">
      <alignment horizontal="center"/>
    </xf>
    <xf numFmtId="0" fontId="97" fillId="0" borderId="29" xfId="188" applyFont="1" applyFill="1" applyBorder="1" applyAlignment="1">
      <alignment horizontal="center" vertical="center" wrapText="1"/>
    </xf>
    <xf numFmtId="0" fontId="97" fillId="0" borderId="0" xfId="188" applyFont="1" applyFill="1" applyBorder="1" applyAlignment="1">
      <alignment horizontal="center" vertical="center" wrapText="1"/>
    </xf>
    <xf numFmtId="0" fontId="97" fillId="0" borderId="41" xfId="188" applyFont="1" applyFill="1" applyBorder="1" applyAlignment="1">
      <alignment horizontal="center" vertical="center" wrapText="1"/>
    </xf>
    <xf numFmtId="0" fontId="53" fillId="4" borderId="23" xfId="188" applyFont="1" applyFill="1" applyBorder="1" applyAlignment="1">
      <alignment horizontal="center" vertical="center"/>
    </xf>
    <xf numFmtId="0" fontId="53" fillId="4" borderId="25" xfId="188" applyFont="1" applyFill="1" applyBorder="1" applyAlignment="1">
      <alignment horizontal="center" vertical="center"/>
    </xf>
    <xf numFmtId="49" fontId="53" fillId="4" borderId="23" xfId="493" quotePrefix="1" applyNumberFormat="1" applyFont="1" applyFill="1" applyBorder="1" applyAlignment="1">
      <alignment horizontal="center" vertical="center" wrapText="1"/>
    </xf>
    <xf numFmtId="49" fontId="53" fillId="4" borderId="24" xfId="493" quotePrefix="1" applyNumberFormat="1" applyFont="1" applyFill="1" applyBorder="1" applyAlignment="1">
      <alignment horizontal="center" vertical="center" wrapText="1"/>
    </xf>
    <xf numFmtId="49" fontId="53" fillId="4" borderId="25" xfId="493" quotePrefix="1" applyNumberFormat="1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4" borderId="63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8" fillId="81" borderId="29" xfId="0" applyNumberFormat="1" applyFont="1" applyFill="1" applyBorder="1" applyAlignment="1" applyProtection="1">
      <alignment horizontal="center" vertical="center" wrapText="1"/>
    </xf>
    <xf numFmtId="0" fontId="98" fillId="81" borderId="0" xfId="0" applyNumberFormat="1" applyFont="1" applyFill="1" applyBorder="1" applyAlignment="1" applyProtection="1">
      <alignment horizontal="center" vertical="center" wrapText="1"/>
    </xf>
    <xf numFmtId="0" fontId="99" fillId="81" borderId="29" xfId="0" applyFont="1" applyFill="1" applyBorder="1" applyAlignment="1">
      <alignment horizontal="center"/>
    </xf>
    <xf numFmtId="0" fontId="99" fillId="81" borderId="0" xfId="0" applyFont="1" applyFill="1" applyBorder="1" applyAlignment="1">
      <alignment horizontal="center"/>
    </xf>
    <xf numFmtId="0" fontId="100" fillId="81" borderId="29" xfId="0" applyFont="1" applyFill="1" applyBorder="1" applyAlignment="1">
      <alignment horizontal="center" vertical="center"/>
    </xf>
    <xf numFmtId="0" fontId="100" fillId="81" borderId="0" xfId="0" applyFont="1" applyFill="1" applyBorder="1" applyAlignment="1">
      <alignment horizontal="center" vertical="center"/>
    </xf>
    <xf numFmtId="0" fontId="97" fillId="0" borderId="53" xfId="188" applyFont="1" applyFill="1" applyBorder="1" applyAlignment="1">
      <alignment horizontal="center" vertical="center" wrapText="1"/>
    </xf>
    <xf numFmtId="0" fontId="97" fillId="0" borderId="48" xfId="188" applyFont="1" applyFill="1" applyBorder="1" applyAlignment="1">
      <alignment horizontal="center" vertical="center" wrapText="1"/>
    </xf>
    <xf numFmtId="0" fontId="1" fillId="83" borderId="44" xfId="3292" applyFont="1" applyFill="1" applyBorder="1" applyAlignment="1">
      <alignment horizontal="left" vertical="center"/>
    </xf>
    <xf numFmtId="0" fontId="1" fillId="83" borderId="45" xfId="3292" applyFont="1" applyFill="1" applyBorder="1" applyAlignment="1">
      <alignment horizontal="left" vertical="center"/>
    </xf>
    <xf numFmtId="0" fontId="1" fillId="83" borderId="48" xfId="3292" applyFont="1" applyFill="1" applyBorder="1" applyAlignment="1">
      <alignment horizontal="left" vertical="center"/>
    </xf>
    <xf numFmtId="0" fontId="1" fillId="83" borderId="49" xfId="3292" applyFont="1" applyFill="1" applyBorder="1" applyAlignment="1">
      <alignment horizontal="left" vertical="center"/>
    </xf>
    <xf numFmtId="0" fontId="9" fillId="83" borderId="46" xfId="3292" applyFill="1" applyBorder="1" applyAlignment="1">
      <alignment horizontal="center" vertical="center"/>
    </xf>
    <xf numFmtId="0" fontId="9" fillId="83" borderId="50" xfId="3292" applyFill="1" applyBorder="1" applyAlignment="1">
      <alignment horizontal="center" vertical="center"/>
    </xf>
    <xf numFmtId="3" fontId="9" fillId="83" borderId="46" xfId="3292" applyNumberFormat="1" applyFill="1" applyBorder="1" applyAlignment="1">
      <alignment horizontal="center" vertical="center"/>
    </xf>
    <xf numFmtId="3" fontId="9" fillId="83" borderId="47" xfId="3292" applyNumberFormat="1" applyFill="1" applyBorder="1" applyAlignment="1">
      <alignment horizontal="right" vertical="center"/>
    </xf>
    <xf numFmtId="0" fontId="9" fillId="83" borderId="50" xfId="3292" applyFill="1" applyBorder="1" applyAlignment="1">
      <alignment horizontal="right" vertical="center"/>
    </xf>
    <xf numFmtId="0" fontId="1" fillId="0" borderId="31" xfId="3292" applyFont="1" applyBorder="1" applyAlignment="1">
      <alignment horizontal="center"/>
    </xf>
    <xf numFmtId="0" fontId="1" fillId="0" borderId="28" xfId="3292" applyFont="1" applyBorder="1" applyAlignment="1">
      <alignment horizontal="center"/>
    </xf>
    <xf numFmtId="0" fontId="101" fillId="0" borderId="29" xfId="3292" applyFont="1" applyBorder="1" applyAlignment="1">
      <alignment horizontal="center" vertical="center"/>
    </xf>
    <xf numFmtId="0" fontId="101" fillId="0" borderId="0" xfId="3292" applyFont="1" applyBorder="1" applyAlignment="1">
      <alignment horizontal="center" vertical="center"/>
    </xf>
    <xf numFmtId="0" fontId="9" fillId="0" borderId="46" xfId="3292" applyBorder="1" applyAlignment="1">
      <alignment horizontal="center" vertical="center"/>
    </xf>
    <xf numFmtId="0" fontId="9" fillId="0" borderId="50" xfId="3292" applyBorder="1" applyAlignment="1">
      <alignment horizontal="center" vertical="center"/>
    </xf>
    <xf numFmtId="4" fontId="9" fillId="84" borderId="30" xfId="3292" applyNumberFormat="1" applyFill="1" applyBorder="1" applyAlignment="1">
      <alignment horizontal="right" vertical="center"/>
    </xf>
    <xf numFmtId="0" fontId="9" fillId="84" borderId="30" xfId="3292" applyFill="1" applyBorder="1" applyAlignment="1">
      <alignment horizontal="right" vertical="center"/>
    </xf>
    <xf numFmtId="3" fontId="9" fillId="0" borderId="30" xfId="3292" applyNumberFormat="1" applyFill="1" applyBorder="1" applyAlignment="1">
      <alignment horizontal="center" vertical="center"/>
    </xf>
    <xf numFmtId="0" fontId="9" fillId="0" borderId="30" xfId="3292" applyBorder="1" applyAlignment="1">
      <alignment horizontal="center" vertical="center"/>
    </xf>
    <xf numFmtId="3" fontId="9" fillId="0" borderId="30" xfId="3292" applyNumberFormat="1" applyBorder="1" applyAlignment="1">
      <alignment horizontal="center" vertical="center"/>
    </xf>
    <xf numFmtId="0" fontId="0" fillId="0" borderId="30" xfId="3292" applyFont="1" applyBorder="1" applyAlignment="1">
      <alignment horizontal="left" vertical="center"/>
    </xf>
    <xf numFmtId="0" fontId="9" fillId="0" borderId="30" xfId="3292" applyBorder="1" applyAlignment="1">
      <alignment horizontal="left" vertical="center"/>
    </xf>
    <xf numFmtId="3" fontId="9" fillId="0" borderId="46" xfId="3292" applyNumberFormat="1" applyBorder="1" applyAlignment="1">
      <alignment horizontal="center" vertical="center"/>
    </xf>
    <xf numFmtId="3" fontId="9" fillId="0" borderId="50" xfId="3292" applyNumberFormat="1" applyBorder="1" applyAlignment="1">
      <alignment horizontal="center" vertical="center"/>
    </xf>
    <xf numFmtId="0" fontId="1" fillId="4" borderId="44" xfId="0" applyFont="1" applyFill="1" applyBorder="1" applyAlignment="1">
      <alignment horizontal="right" vertical="center" wrapText="1"/>
    </xf>
    <xf numFmtId="0" fontId="1" fillId="4" borderId="48" xfId="0" applyFont="1" applyFill="1" applyBorder="1" applyAlignment="1">
      <alignment horizontal="right" vertical="center" wrapText="1"/>
    </xf>
    <xf numFmtId="4" fontId="1" fillId="4" borderId="46" xfId="0" applyNumberFormat="1" applyFont="1" applyFill="1" applyBorder="1" applyAlignment="1">
      <alignment horizontal="center" vertical="center"/>
    </xf>
    <xf numFmtId="4" fontId="1" fillId="4" borderId="50" xfId="0" applyNumberFormat="1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</cellXfs>
  <cellStyles count="6215">
    <cellStyle name="0,0_x000a__x000a_NA_x000a__x000a_" xfId="1410"/>
    <cellStyle name="0,0_x000a__x000a_NA_x000a__x000a_ 2" xfId="1411"/>
    <cellStyle name="0,0_x000a__x000a_NA_x000a__x000a_ 2 2" xfId="1412"/>
    <cellStyle name="0,0_x000d__x000a_NA_x000d__x000a_" xfId="499"/>
    <cellStyle name="0,0_x000d__x000a_NA_x000d__x000a_ 2" xfId="500"/>
    <cellStyle name="0,0_x000d__x000a_NA_x000d__x000a_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4"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19050</xdr:colOff>
      <xdr:row>2</xdr:row>
      <xdr:rowOff>123825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workbookViewId="0">
      <selection activeCell="C8" sqref="C8"/>
    </sheetView>
  </sheetViews>
  <sheetFormatPr defaultRowHeight="15"/>
  <cols>
    <col min="1" max="1" width="10.7109375" customWidth="1"/>
    <col min="2" max="2" width="5" customWidth="1"/>
    <col min="3" max="3" width="48.85546875" customWidth="1"/>
    <col min="4" max="4" width="6.140625" customWidth="1"/>
    <col min="5" max="5" width="9.28515625" customWidth="1"/>
    <col min="6" max="6" width="9.85546875" customWidth="1"/>
    <col min="7" max="7" width="11.7109375" customWidth="1"/>
    <col min="8" max="8" width="12.140625" customWidth="1"/>
    <col min="9" max="9" width="11.5703125" customWidth="1"/>
    <col min="10" max="10" width="15" style="9" customWidth="1"/>
  </cols>
  <sheetData>
    <row r="1" spans="1:10" ht="64.5" customHeight="1">
      <c r="A1" s="117" t="s">
        <v>51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>
      <c r="A2" s="120" t="s">
        <v>52</v>
      </c>
      <c r="B2" s="121"/>
      <c r="C2" s="121"/>
      <c r="D2" s="121"/>
      <c r="E2" s="121"/>
      <c r="F2" s="121"/>
      <c r="G2" s="121"/>
      <c r="H2" s="121"/>
      <c r="I2" s="121"/>
      <c r="J2" s="122"/>
    </row>
    <row r="3" spans="1:10">
      <c r="A3" s="123" t="s">
        <v>53</v>
      </c>
      <c r="B3" s="124"/>
      <c r="C3" s="124"/>
      <c r="D3" s="124"/>
      <c r="E3" s="124"/>
      <c r="F3" s="124"/>
      <c r="G3" s="124"/>
      <c r="H3" s="124"/>
      <c r="I3" s="124"/>
      <c r="J3" s="125"/>
    </row>
    <row r="4" spans="1:10" ht="18">
      <c r="A4" s="126" t="s">
        <v>54</v>
      </c>
      <c r="B4" s="127"/>
      <c r="C4" s="127"/>
      <c r="D4" s="127"/>
      <c r="E4" s="127"/>
      <c r="F4" s="127"/>
      <c r="G4" s="127"/>
      <c r="H4" s="127"/>
      <c r="I4" s="127"/>
      <c r="J4" s="128"/>
    </row>
    <row r="5" spans="1:10" ht="16.5" customHeight="1" thickBot="1">
      <c r="A5" s="129" t="s">
        <v>132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10" ht="40.5" customHeight="1" thickBot="1">
      <c r="A6" s="132" t="s">
        <v>79</v>
      </c>
      <c r="B6" s="133"/>
      <c r="C6" s="24" t="s">
        <v>142</v>
      </c>
      <c r="D6" s="134" t="s">
        <v>135</v>
      </c>
      <c r="E6" s="135"/>
      <c r="F6" s="136"/>
      <c r="G6" s="25" t="s">
        <v>78</v>
      </c>
      <c r="H6" s="61" t="s">
        <v>107</v>
      </c>
      <c r="I6" s="132" t="s">
        <v>91</v>
      </c>
      <c r="J6" s="133"/>
    </row>
    <row r="7" spans="1:10" ht="7.5" customHeight="1" thickBot="1">
      <c r="A7" s="140"/>
      <c r="B7" s="141"/>
      <c r="C7" s="141"/>
      <c r="D7" s="141"/>
      <c r="E7" s="141"/>
      <c r="F7" s="141"/>
      <c r="G7" s="141"/>
      <c r="H7" s="141"/>
      <c r="I7" s="141"/>
      <c r="J7" s="142"/>
    </row>
    <row r="8" spans="1:10" ht="25.5">
      <c r="A8" s="41" t="s">
        <v>1</v>
      </c>
      <c r="B8" s="42" t="s">
        <v>2</v>
      </c>
      <c r="C8" s="43"/>
      <c r="D8" s="44" t="s">
        <v>3</v>
      </c>
      <c r="E8" s="44" t="s">
        <v>4</v>
      </c>
      <c r="F8" s="44" t="s">
        <v>5</v>
      </c>
      <c r="G8" s="44" t="s">
        <v>6</v>
      </c>
      <c r="H8" s="44" t="s">
        <v>90</v>
      </c>
      <c r="I8" s="44" t="s">
        <v>8</v>
      </c>
      <c r="J8" s="45" t="s">
        <v>9</v>
      </c>
    </row>
    <row r="9" spans="1:10">
      <c r="A9" s="86" t="s">
        <v>108</v>
      </c>
      <c r="B9" s="86" t="s">
        <v>109</v>
      </c>
      <c r="C9" s="87"/>
      <c r="D9" s="88"/>
      <c r="E9" s="89"/>
      <c r="F9" s="89"/>
      <c r="G9" s="89"/>
      <c r="H9" s="89"/>
      <c r="I9" s="89"/>
      <c r="J9" s="89"/>
    </row>
    <row r="10" spans="1:10">
      <c r="A10" s="72" t="s">
        <v>110</v>
      </c>
      <c r="B10" s="73" t="s">
        <v>111</v>
      </c>
      <c r="C10" s="72"/>
      <c r="D10" s="83"/>
      <c r="E10" s="84"/>
      <c r="F10" s="84"/>
      <c r="G10" s="84"/>
      <c r="H10" s="84"/>
      <c r="I10" s="84"/>
      <c r="J10" s="84"/>
    </row>
    <row r="11" spans="1:10" ht="38.25">
      <c r="A11" s="62" t="s">
        <v>112</v>
      </c>
      <c r="B11" s="65"/>
      <c r="C11" s="62" t="s">
        <v>113</v>
      </c>
      <c r="D11" s="64" t="s">
        <v>0</v>
      </c>
      <c r="E11" s="85">
        <v>0.25</v>
      </c>
      <c r="F11" s="63">
        <v>0.28000000000000003</v>
      </c>
      <c r="G11" s="63">
        <v>0.53</v>
      </c>
      <c r="H11" s="8">
        <f>G11*1.2293</f>
        <v>0.65152900000000002</v>
      </c>
      <c r="I11" s="18">
        <f>1395.85+1579.35+2114.87+1836.66+1331.47+1268.08+583.34</f>
        <v>10109.619999999999</v>
      </c>
      <c r="J11" s="50">
        <f>H11*I11</f>
        <v>6586.71060898</v>
      </c>
    </row>
    <row r="12" spans="1:10">
      <c r="A12" s="79"/>
      <c r="B12" s="80"/>
      <c r="C12" s="81"/>
      <c r="D12" s="82"/>
      <c r="E12" s="82"/>
      <c r="F12" s="82"/>
      <c r="G12" s="82"/>
      <c r="H12" s="82"/>
      <c r="I12" s="56" t="s">
        <v>55</v>
      </c>
      <c r="J12" s="57">
        <f>SUM(J11)</f>
        <v>6586.71060898</v>
      </c>
    </row>
    <row r="13" spans="1:10">
      <c r="A13" s="66" t="s">
        <v>94</v>
      </c>
      <c r="B13" s="66" t="s">
        <v>95</v>
      </c>
      <c r="C13" s="67"/>
      <c r="D13" s="22"/>
      <c r="E13" s="22"/>
      <c r="F13" s="22"/>
      <c r="G13" s="22"/>
      <c r="H13" s="22"/>
      <c r="I13" s="22"/>
      <c r="J13" s="35"/>
    </row>
    <row r="14" spans="1:10">
      <c r="A14" s="72" t="s">
        <v>98</v>
      </c>
      <c r="B14" s="73" t="s">
        <v>99</v>
      </c>
      <c r="C14" s="72"/>
      <c r="D14" s="4"/>
      <c r="E14" s="5"/>
      <c r="F14" s="5"/>
      <c r="G14" s="5"/>
      <c r="H14" s="5"/>
      <c r="I14" s="5"/>
      <c r="J14" s="37"/>
    </row>
    <row r="15" spans="1:10" ht="16.5" customHeight="1">
      <c r="A15" s="62" t="s">
        <v>96</v>
      </c>
      <c r="B15" s="65"/>
      <c r="C15" s="62" t="s">
        <v>97</v>
      </c>
      <c r="D15" s="64" t="s">
        <v>0</v>
      </c>
      <c r="E15" s="63">
        <v>330.7</v>
      </c>
      <c r="F15" s="63">
        <v>62.02</v>
      </c>
      <c r="G15" s="63">
        <v>392.72</v>
      </c>
      <c r="H15" s="8">
        <f>G15*1.2293</f>
        <v>482.77069600000004</v>
      </c>
      <c r="I15" s="18">
        <v>6</v>
      </c>
      <c r="J15" s="39">
        <f>H15*I15</f>
        <v>2896.6241760000003</v>
      </c>
    </row>
    <row r="16" spans="1:10">
      <c r="A16" s="114"/>
      <c r="B16" s="115"/>
      <c r="C16" s="115"/>
      <c r="D16" s="115"/>
      <c r="E16" s="115"/>
      <c r="F16" s="115"/>
      <c r="G16" s="115"/>
      <c r="H16" s="55"/>
      <c r="I16" s="56" t="s">
        <v>55</v>
      </c>
      <c r="J16" s="57">
        <f>SUM(J15)</f>
        <v>2896.6241760000003</v>
      </c>
    </row>
    <row r="17" spans="1:13">
      <c r="A17" s="68" t="s">
        <v>57</v>
      </c>
      <c r="B17" s="69" t="s">
        <v>58</v>
      </c>
      <c r="C17" s="70"/>
      <c r="D17" s="71"/>
      <c r="E17" s="71"/>
      <c r="F17" s="71"/>
      <c r="G17" s="71"/>
      <c r="H17" s="71"/>
      <c r="I17" s="71"/>
      <c r="J17" s="71"/>
    </row>
    <row r="18" spans="1:13">
      <c r="A18" s="1" t="s">
        <v>74</v>
      </c>
      <c r="B18" s="2" t="s">
        <v>75</v>
      </c>
      <c r="C18" s="3"/>
      <c r="D18" s="4"/>
      <c r="E18" s="5"/>
      <c r="F18" s="5"/>
      <c r="G18" s="5"/>
      <c r="H18" s="5"/>
      <c r="I18" s="5"/>
      <c r="J18" s="5"/>
    </row>
    <row r="19" spans="1:13" ht="26.25" customHeight="1">
      <c r="A19" s="6" t="s">
        <v>76</v>
      </c>
      <c r="B19" s="6"/>
      <c r="C19" s="7" t="s">
        <v>77</v>
      </c>
      <c r="D19" s="6" t="s">
        <v>11</v>
      </c>
      <c r="E19" s="63">
        <v>4.68</v>
      </c>
      <c r="F19" s="63">
        <v>0</v>
      </c>
      <c r="G19" s="63">
        <v>4.68</v>
      </c>
      <c r="H19" s="8">
        <f>G19*1.2293</f>
        <v>5.7531239999999997</v>
      </c>
      <c r="I19" s="74">
        <f>0.2*I11</f>
        <v>2021.924</v>
      </c>
      <c r="J19" s="39">
        <f>H19*I19</f>
        <v>11632.379490575999</v>
      </c>
    </row>
    <row r="20" spans="1:13">
      <c r="A20" s="6"/>
      <c r="B20" s="6"/>
      <c r="C20" s="7"/>
      <c r="D20" s="6"/>
      <c r="E20" s="8"/>
      <c r="F20" s="8"/>
      <c r="G20" s="8"/>
      <c r="H20" s="8"/>
      <c r="I20" s="56" t="s">
        <v>55</v>
      </c>
      <c r="J20" s="58">
        <f>SUM(J19)</f>
        <v>11632.379490575999</v>
      </c>
    </row>
    <row r="21" spans="1:13">
      <c r="A21" s="68" t="s">
        <v>12</v>
      </c>
      <c r="B21" s="69" t="s">
        <v>13</v>
      </c>
      <c r="C21" s="70"/>
      <c r="D21" s="71"/>
      <c r="E21" s="71"/>
      <c r="F21" s="71"/>
      <c r="G21" s="71"/>
      <c r="H21" s="71"/>
      <c r="I21" s="71"/>
      <c r="J21" s="71"/>
    </row>
    <row r="22" spans="1:13">
      <c r="A22" s="1" t="s">
        <v>14</v>
      </c>
      <c r="B22" s="2" t="s">
        <v>15</v>
      </c>
      <c r="C22" s="3"/>
      <c r="D22" s="4"/>
      <c r="E22" s="5"/>
      <c r="F22" s="5"/>
      <c r="G22" s="5"/>
      <c r="H22" s="5"/>
      <c r="I22" s="5"/>
      <c r="J22" s="5"/>
    </row>
    <row r="23" spans="1:13" ht="26.25">
      <c r="A23" s="6" t="s">
        <v>16</v>
      </c>
      <c r="B23" s="6"/>
      <c r="C23" s="7" t="s">
        <v>17</v>
      </c>
      <c r="D23" s="6" t="s">
        <v>11</v>
      </c>
      <c r="E23" s="63">
        <v>8.36</v>
      </c>
      <c r="F23" s="63">
        <v>0.19</v>
      </c>
      <c r="G23" s="63">
        <v>8.5500000000000007</v>
      </c>
      <c r="H23" s="8">
        <f>G23*1.2293</f>
        <v>10.510515000000002</v>
      </c>
      <c r="I23" s="74">
        <f>I19</f>
        <v>2021.924</v>
      </c>
      <c r="J23" s="8">
        <f>H23*I23</f>
        <v>21251.462530860004</v>
      </c>
    </row>
    <row r="24" spans="1:13">
      <c r="A24" s="62" t="s">
        <v>114</v>
      </c>
      <c r="B24" s="65"/>
      <c r="C24" s="62" t="s">
        <v>121</v>
      </c>
      <c r="D24" s="64" t="s">
        <v>11</v>
      </c>
      <c r="E24" s="63">
        <v>8.0299999999999994</v>
      </c>
      <c r="F24" s="63">
        <v>0</v>
      </c>
      <c r="G24" s="63">
        <v>8.0299999999999994</v>
      </c>
      <c r="H24" s="8">
        <f>G24*1.2293</f>
        <v>9.8712789999999995</v>
      </c>
      <c r="I24" s="74">
        <f>I23</f>
        <v>2021.924</v>
      </c>
      <c r="J24" s="8">
        <f>H24*I24</f>
        <v>19958.975920795998</v>
      </c>
    </row>
    <row r="25" spans="1:13">
      <c r="A25" s="72" t="s">
        <v>115</v>
      </c>
      <c r="B25" s="73" t="s">
        <v>116</v>
      </c>
      <c r="C25" s="72"/>
      <c r="D25" s="83"/>
      <c r="E25" s="84"/>
      <c r="F25" s="84"/>
      <c r="G25" s="84"/>
      <c r="H25" s="84"/>
      <c r="I25" s="84"/>
      <c r="J25" s="84"/>
    </row>
    <row r="26" spans="1:13" ht="25.5">
      <c r="A26" s="62" t="s">
        <v>92</v>
      </c>
      <c r="B26" s="65"/>
      <c r="C26" s="62" t="s">
        <v>93</v>
      </c>
      <c r="D26" s="64" t="s">
        <v>11</v>
      </c>
      <c r="E26" s="63">
        <v>5.69</v>
      </c>
      <c r="F26" s="63">
        <v>0.87</v>
      </c>
      <c r="G26" s="63">
        <v>6.56</v>
      </c>
      <c r="H26" s="8">
        <f>G26*1.2293</f>
        <v>8.0642080000000007</v>
      </c>
      <c r="I26" s="74">
        <f>(I41+I42+I43)*1.8</f>
        <v>1384.2</v>
      </c>
      <c r="J26" s="8">
        <f>H26*I26</f>
        <v>11162.476713600001</v>
      </c>
    </row>
    <row r="27" spans="1:13">
      <c r="A27" s="72" t="s">
        <v>122</v>
      </c>
      <c r="B27" s="73" t="s">
        <v>123</v>
      </c>
      <c r="C27" s="72"/>
      <c r="D27" s="83"/>
      <c r="E27" s="84"/>
      <c r="F27" s="84"/>
      <c r="G27" s="84"/>
      <c r="H27" s="8"/>
      <c r="I27" s="74"/>
      <c r="J27" s="8"/>
    </row>
    <row r="28" spans="1:13" ht="25.5">
      <c r="A28" s="62" t="s">
        <v>124</v>
      </c>
      <c r="B28" s="65"/>
      <c r="C28" s="62" t="s">
        <v>125</v>
      </c>
      <c r="D28" s="64" t="s">
        <v>11</v>
      </c>
      <c r="E28" s="63">
        <v>3.17</v>
      </c>
      <c r="F28" s="63">
        <v>0.08</v>
      </c>
      <c r="G28" s="63">
        <v>3.25</v>
      </c>
      <c r="H28" s="8">
        <f>G28*1.2293</f>
        <v>3.995225</v>
      </c>
      <c r="I28" s="74">
        <f>I24</f>
        <v>2021.924</v>
      </c>
      <c r="J28" s="8">
        <f>H28*I28</f>
        <v>8078.0413128999999</v>
      </c>
    </row>
    <row r="29" spans="1:13">
      <c r="A29" s="1" t="s">
        <v>68</v>
      </c>
      <c r="B29" s="2" t="s">
        <v>69</v>
      </c>
      <c r="C29" s="3"/>
      <c r="D29" s="4"/>
      <c r="E29" s="5"/>
      <c r="F29" s="5"/>
      <c r="G29" s="5"/>
      <c r="H29" s="5"/>
      <c r="I29" s="5"/>
      <c r="J29" s="5"/>
    </row>
    <row r="30" spans="1:13" ht="26.25">
      <c r="A30" s="6" t="s">
        <v>70</v>
      </c>
      <c r="B30" s="6"/>
      <c r="C30" s="7" t="s">
        <v>71</v>
      </c>
      <c r="D30" s="6" t="s">
        <v>11</v>
      </c>
      <c r="E30" s="63">
        <v>2.7</v>
      </c>
      <c r="F30" s="63">
        <v>1.88</v>
      </c>
      <c r="G30" s="63">
        <v>4.58</v>
      </c>
      <c r="H30" s="8">
        <f>G30*1.2293</f>
        <v>5.6301940000000004</v>
      </c>
      <c r="I30" s="8">
        <f>I26*0.7</f>
        <v>968.93999999999994</v>
      </c>
      <c r="J30" s="8">
        <f>H30*I30</f>
        <v>5455.3201743600002</v>
      </c>
    </row>
    <row r="31" spans="1:13">
      <c r="A31" s="72" t="s">
        <v>119</v>
      </c>
      <c r="B31" s="73" t="s">
        <v>120</v>
      </c>
      <c r="C31" s="72"/>
      <c r="D31" s="83"/>
      <c r="E31" s="84"/>
      <c r="F31" s="84"/>
      <c r="G31" s="84"/>
      <c r="H31" s="84"/>
      <c r="I31" s="84"/>
      <c r="J31" s="84"/>
      <c r="M31" s="98"/>
    </row>
    <row r="32" spans="1:13" ht="27" customHeight="1">
      <c r="A32" s="62" t="s">
        <v>117</v>
      </c>
      <c r="B32" s="65"/>
      <c r="C32" s="62" t="s">
        <v>118</v>
      </c>
      <c r="D32" s="64" t="s">
        <v>11</v>
      </c>
      <c r="E32" s="63">
        <v>10.88</v>
      </c>
      <c r="F32" s="63">
        <v>0.27</v>
      </c>
      <c r="G32" s="63">
        <v>11.15</v>
      </c>
      <c r="H32" s="8">
        <f>G32*1.2293</f>
        <v>13.706695000000002</v>
      </c>
      <c r="I32" s="8">
        <f>I23</f>
        <v>2021.924</v>
      </c>
      <c r="J32" s="8">
        <f>H32*I32</f>
        <v>27713.895581180004</v>
      </c>
    </row>
    <row r="33" spans="1:10">
      <c r="A33" s="47"/>
      <c r="B33" s="48"/>
      <c r="C33" s="48"/>
      <c r="D33" s="48"/>
      <c r="E33" s="48"/>
      <c r="F33" s="48"/>
      <c r="G33" s="48"/>
      <c r="H33" s="55"/>
      <c r="I33" s="56" t="s">
        <v>55</v>
      </c>
      <c r="J33" s="57">
        <f>SUM(J23:J32)</f>
        <v>93620.172233696008</v>
      </c>
    </row>
    <row r="34" spans="1:10">
      <c r="A34" s="90" t="s">
        <v>126</v>
      </c>
      <c r="B34" s="90" t="s">
        <v>127</v>
      </c>
      <c r="C34" s="91"/>
      <c r="D34" s="92"/>
      <c r="E34" s="93"/>
      <c r="F34" s="93"/>
      <c r="G34" s="93"/>
      <c r="H34" s="93"/>
      <c r="I34" s="93"/>
      <c r="J34" s="93"/>
    </row>
    <row r="35" spans="1:10">
      <c r="A35" s="94" t="s">
        <v>128</v>
      </c>
      <c r="B35" s="94" t="s">
        <v>129</v>
      </c>
      <c r="C35" s="95"/>
      <c r="D35" s="96"/>
      <c r="E35" s="97"/>
      <c r="F35" s="97"/>
      <c r="G35" s="97"/>
      <c r="H35" s="97"/>
      <c r="I35" s="97"/>
      <c r="J35" s="97"/>
    </row>
    <row r="36" spans="1:10">
      <c r="A36" s="62" t="s">
        <v>130</v>
      </c>
      <c r="B36" s="65"/>
      <c r="C36" s="62" t="s">
        <v>131</v>
      </c>
      <c r="D36" s="64" t="s">
        <v>0</v>
      </c>
      <c r="E36" s="63">
        <v>6.91</v>
      </c>
      <c r="F36" s="63">
        <v>5.78</v>
      </c>
      <c r="G36" s="63">
        <v>12.69</v>
      </c>
      <c r="H36" s="8">
        <f>G36*1.2293</f>
        <v>15.599817</v>
      </c>
      <c r="I36" s="99">
        <f>I26</f>
        <v>1384.2</v>
      </c>
      <c r="J36" s="8">
        <f>H36*I36</f>
        <v>21593.2666914</v>
      </c>
    </row>
    <row r="37" spans="1:10">
      <c r="A37" s="77"/>
      <c r="B37" s="78"/>
      <c r="C37" s="78"/>
      <c r="D37" s="78"/>
      <c r="E37" s="78"/>
      <c r="F37" s="78"/>
      <c r="G37" s="78"/>
      <c r="H37" s="78"/>
      <c r="I37" s="56" t="s">
        <v>55</v>
      </c>
      <c r="J37" s="57">
        <f>SUM(J36)</f>
        <v>21593.2666914</v>
      </c>
    </row>
    <row r="38" spans="1:10">
      <c r="A38" s="34" t="s">
        <v>18</v>
      </c>
      <c r="B38" s="20" t="s">
        <v>19</v>
      </c>
      <c r="C38" s="21"/>
      <c r="D38" s="22"/>
      <c r="E38" s="22"/>
      <c r="F38" s="22"/>
      <c r="G38" s="22"/>
      <c r="H38" s="22"/>
      <c r="I38" s="22"/>
      <c r="J38" s="35"/>
    </row>
    <row r="39" spans="1:10">
      <c r="A39" s="36" t="s">
        <v>20</v>
      </c>
      <c r="B39" s="2" t="s">
        <v>21</v>
      </c>
      <c r="C39" s="3"/>
      <c r="D39" s="4"/>
      <c r="E39" s="5"/>
      <c r="F39" s="5"/>
      <c r="G39" s="5"/>
      <c r="H39" s="5"/>
      <c r="I39" s="5"/>
      <c r="J39" s="37"/>
    </row>
    <row r="40" spans="1:10">
      <c r="A40" s="102" t="s">
        <v>136</v>
      </c>
      <c r="B40" s="103"/>
      <c r="C40" s="102" t="s">
        <v>137</v>
      </c>
      <c r="D40" s="102" t="s">
        <v>10</v>
      </c>
      <c r="E40" s="104">
        <v>70.22</v>
      </c>
      <c r="F40" s="105">
        <v>36.35</v>
      </c>
      <c r="G40" s="105">
        <v>106.57</v>
      </c>
      <c r="H40" s="8">
        <f t="shared" ref="H40" si="0">G40*1.2293</f>
        <v>131.00650099999999</v>
      </c>
      <c r="I40" s="106">
        <v>62</v>
      </c>
      <c r="J40" s="39">
        <f t="shared" ref="J40" si="1">H40*I40</f>
        <v>8122.4030619999994</v>
      </c>
    </row>
    <row r="41" spans="1:10" ht="14.25" customHeight="1">
      <c r="A41" s="38" t="s">
        <v>22</v>
      </c>
      <c r="B41" s="6"/>
      <c r="C41" s="7" t="s">
        <v>23</v>
      </c>
      <c r="D41" s="6" t="s">
        <v>10</v>
      </c>
      <c r="E41" s="63">
        <v>96.9</v>
      </c>
      <c r="F41" s="63">
        <v>35.799999999999997</v>
      </c>
      <c r="G41" s="63">
        <v>132.69999999999999</v>
      </c>
      <c r="H41" s="8">
        <f t="shared" ref="H41:H43" si="2">G41*1.2293</f>
        <v>163.12810999999999</v>
      </c>
      <c r="I41" s="106">
        <f>14+62+9+103+69+13+20+12+9</f>
        <v>311</v>
      </c>
      <c r="J41" s="39">
        <f t="shared" ref="J41:J43" si="3">H41*I41</f>
        <v>50732.842209999995</v>
      </c>
    </row>
    <row r="42" spans="1:10" ht="15" customHeight="1">
      <c r="A42" s="6" t="s">
        <v>72</v>
      </c>
      <c r="B42" s="6"/>
      <c r="C42" s="7" t="s">
        <v>73</v>
      </c>
      <c r="D42" s="6" t="s">
        <v>10</v>
      </c>
      <c r="E42" s="63">
        <v>188.09</v>
      </c>
      <c r="F42" s="63">
        <v>46.12</v>
      </c>
      <c r="G42" s="63">
        <v>234.21</v>
      </c>
      <c r="H42" s="8">
        <f t="shared" si="2"/>
        <v>287.91435300000001</v>
      </c>
      <c r="I42" s="75">
        <f>57+41+68+9+163</f>
        <v>338</v>
      </c>
      <c r="J42" s="39">
        <f t="shared" si="3"/>
        <v>97315.051313999997</v>
      </c>
    </row>
    <row r="43" spans="1:10" ht="14.25" customHeight="1">
      <c r="A43" s="38" t="s">
        <v>24</v>
      </c>
      <c r="B43" s="6"/>
      <c r="C43" s="7" t="s">
        <v>25</v>
      </c>
      <c r="D43" s="6" t="s">
        <v>10</v>
      </c>
      <c r="E43" s="63">
        <v>274.57</v>
      </c>
      <c r="F43" s="63">
        <v>58.09</v>
      </c>
      <c r="G43" s="63">
        <v>332.66</v>
      </c>
      <c r="H43" s="8">
        <f t="shared" si="2"/>
        <v>408.93893800000006</v>
      </c>
      <c r="I43" s="75">
        <f>89+12+19</f>
        <v>120</v>
      </c>
      <c r="J43" s="39">
        <f t="shared" si="3"/>
        <v>49072.672560000006</v>
      </c>
    </row>
    <row r="44" spans="1:10" ht="14.25" customHeight="1">
      <c r="A44" s="146"/>
      <c r="B44" s="147"/>
      <c r="C44" s="147"/>
      <c r="D44" s="147"/>
      <c r="E44" s="147"/>
      <c r="F44" s="147"/>
      <c r="G44" s="147"/>
      <c r="H44" s="52"/>
      <c r="I44" s="56" t="s">
        <v>55</v>
      </c>
      <c r="J44" s="57">
        <f>SUM(J41:J43)</f>
        <v>197120.56608399999</v>
      </c>
    </row>
    <row r="45" spans="1:10">
      <c r="A45" s="34" t="s">
        <v>26</v>
      </c>
      <c r="B45" s="20" t="s">
        <v>27</v>
      </c>
      <c r="C45" s="21"/>
      <c r="D45" s="22"/>
      <c r="E45" s="22"/>
      <c r="F45" s="22"/>
      <c r="G45" s="22"/>
      <c r="H45" s="22"/>
      <c r="I45" s="22"/>
      <c r="J45" s="35"/>
    </row>
    <row r="46" spans="1:10">
      <c r="A46" s="36" t="s">
        <v>28</v>
      </c>
      <c r="B46" s="2" t="s">
        <v>29</v>
      </c>
      <c r="C46" s="3"/>
      <c r="D46" s="4"/>
      <c r="E46" s="5"/>
      <c r="F46" s="5"/>
      <c r="G46" s="5"/>
      <c r="H46" s="5"/>
      <c r="I46" s="5"/>
      <c r="J46" s="37"/>
    </row>
    <row r="47" spans="1:10" ht="15.75" customHeight="1">
      <c r="A47" s="38" t="s">
        <v>30</v>
      </c>
      <c r="B47" s="6"/>
      <c r="C47" s="7" t="s">
        <v>31</v>
      </c>
      <c r="D47" s="6" t="s">
        <v>7</v>
      </c>
      <c r="E47" s="63">
        <v>1035.25</v>
      </c>
      <c r="F47" s="63">
        <v>1071.6500000000001</v>
      </c>
      <c r="G47" s="63">
        <v>2106.9</v>
      </c>
      <c r="H47" s="8">
        <f>G47*1.2293</f>
        <v>2590.0121700000004</v>
      </c>
      <c r="I47" s="49">
        <v>24</v>
      </c>
      <c r="J47" s="39">
        <f>I47*H47</f>
        <v>62160.292080000014</v>
      </c>
    </row>
    <row r="48" spans="1:10">
      <c r="A48" s="62" t="s">
        <v>80</v>
      </c>
      <c r="B48" s="6"/>
      <c r="C48" s="62" t="s">
        <v>81</v>
      </c>
      <c r="D48" s="6" t="s">
        <v>7</v>
      </c>
      <c r="E48" s="63">
        <v>1236.17</v>
      </c>
      <c r="F48" s="63">
        <v>1679.25</v>
      </c>
      <c r="G48" s="63">
        <v>2915.42</v>
      </c>
      <c r="H48" s="8">
        <f t="shared" ref="H48:H51" si="4">G48*1.2293</f>
        <v>3583.9258060000002</v>
      </c>
      <c r="I48" s="75">
        <v>2</v>
      </c>
      <c r="J48" s="39">
        <f>I48*H48</f>
        <v>7167.8516120000004</v>
      </c>
    </row>
    <row r="49" spans="1:10">
      <c r="A49" s="62" t="s">
        <v>82</v>
      </c>
      <c r="B49" s="6"/>
      <c r="C49" s="62" t="s">
        <v>134</v>
      </c>
      <c r="D49" s="64" t="s">
        <v>11</v>
      </c>
      <c r="E49" s="63">
        <v>290.36</v>
      </c>
      <c r="F49" s="63">
        <v>0</v>
      </c>
      <c r="G49" s="63">
        <v>290.36</v>
      </c>
      <c r="H49" s="8">
        <f t="shared" si="4"/>
        <v>356.93954800000006</v>
      </c>
      <c r="I49" s="75">
        <v>8</v>
      </c>
      <c r="J49" s="39">
        <f t="shared" ref="J49:J51" si="5">I49*H49</f>
        <v>2855.5163840000005</v>
      </c>
    </row>
    <row r="50" spans="1:10" ht="25.5">
      <c r="A50" s="62" t="s">
        <v>83</v>
      </c>
      <c r="B50" s="6"/>
      <c r="C50" s="62" t="s">
        <v>84</v>
      </c>
      <c r="D50" s="64" t="s">
        <v>11</v>
      </c>
      <c r="E50" s="63">
        <v>0</v>
      </c>
      <c r="F50" s="63">
        <v>56.92</v>
      </c>
      <c r="G50" s="63">
        <v>56.92</v>
      </c>
      <c r="H50" s="8">
        <f t="shared" si="4"/>
        <v>69.971755999999999</v>
      </c>
      <c r="I50" s="75">
        <f>I49</f>
        <v>8</v>
      </c>
      <c r="J50" s="39">
        <f t="shared" si="5"/>
        <v>559.77404799999999</v>
      </c>
    </row>
    <row r="51" spans="1:10">
      <c r="A51" s="62" t="s">
        <v>85</v>
      </c>
      <c r="B51" s="65"/>
      <c r="C51" s="62" t="s">
        <v>87</v>
      </c>
      <c r="D51" s="64" t="s">
        <v>86</v>
      </c>
      <c r="E51" s="63">
        <v>6.28</v>
      </c>
      <c r="F51" s="63">
        <v>0.87</v>
      </c>
      <c r="G51" s="63">
        <v>7.15</v>
      </c>
      <c r="H51" s="8">
        <f t="shared" si="4"/>
        <v>8.7894950000000005</v>
      </c>
      <c r="I51" s="75">
        <f>5*19.2*3.11</f>
        <v>298.56</v>
      </c>
      <c r="J51" s="39">
        <f t="shared" si="5"/>
        <v>2624.1916272000003</v>
      </c>
    </row>
    <row r="52" spans="1:10" ht="14.25" customHeight="1">
      <c r="A52" s="109"/>
      <c r="B52" s="110"/>
      <c r="C52" s="110"/>
      <c r="D52" s="110"/>
      <c r="E52" s="110"/>
      <c r="F52" s="110"/>
      <c r="G52" s="110"/>
      <c r="H52" s="53"/>
      <c r="I52" s="56" t="s">
        <v>55</v>
      </c>
      <c r="J52" s="57">
        <f>SUM(J47:J51)</f>
        <v>75367.625751200016</v>
      </c>
    </row>
    <row r="53" spans="1:10" ht="12.75" customHeight="1">
      <c r="A53" s="34" t="s">
        <v>32</v>
      </c>
      <c r="B53" s="20" t="s">
        <v>33</v>
      </c>
      <c r="C53" s="21"/>
      <c r="D53" s="22"/>
      <c r="E53" s="22"/>
      <c r="F53" s="22"/>
      <c r="G53" s="22"/>
      <c r="H53" s="22"/>
      <c r="I53" s="22"/>
      <c r="J53" s="35"/>
    </row>
    <row r="54" spans="1:10">
      <c r="A54" s="36" t="s">
        <v>34</v>
      </c>
      <c r="B54" s="2" t="s">
        <v>35</v>
      </c>
      <c r="C54" s="3"/>
      <c r="D54" s="4"/>
      <c r="E54" s="5"/>
      <c r="F54" s="5"/>
      <c r="G54" s="5"/>
      <c r="H54" s="5"/>
      <c r="I54" s="5"/>
      <c r="J54" s="37"/>
    </row>
    <row r="55" spans="1:10" ht="28.5" customHeight="1">
      <c r="A55" s="38" t="s">
        <v>36</v>
      </c>
      <c r="B55" s="6"/>
      <c r="C55" s="7" t="s">
        <v>37</v>
      </c>
      <c r="D55" s="107" t="s">
        <v>0</v>
      </c>
      <c r="E55" s="63">
        <v>1.85</v>
      </c>
      <c r="F55" s="63">
        <v>0.11</v>
      </c>
      <c r="G55" s="63">
        <v>1.96</v>
      </c>
      <c r="H55" s="8">
        <f t="shared" ref="H55:H56" si="6">G55*1.2293</f>
        <v>2.4094280000000001</v>
      </c>
      <c r="I55" s="76">
        <f>I11</f>
        <v>10109.619999999999</v>
      </c>
      <c r="J55" s="39">
        <f>H55*I55</f>
        <v>24358.401497359999</v>
      </c>
    </row>
    <row r="56" spans="1:10" ht="14.25" customHeight="1">
      <c r="A56" s="62" t="s">
        <v>88</v>
      </c>
      <c r="B56" s="65"/>
      <c r="C56" s="62" t="s">
        <v>89</v>
      </c>
      <c r="D56" s="64" t="s">
        <v>11</v>
      </c>
      <c r="E56" s="63">
        <v>6.62</v>
      </c>
      <c r="F56" s="63">
        <v>0.09</v>
      </c>
      <c r="G56" s="63">
        <v>6.71</v>
      </c>
      <c r="H56" s="8">
        <f t="shared" si="6"/>
        <v>8.248603000000001</v>
      </c>
      <c r="I56" s="76">
        <f>0.4*I55</f>
        <v>4043.848</v>
      </c>
      <c r="J56" s="39">
        <f t="shared" ref="J56" si="7">H56*I56</f>
        <v>33356.096744344002</v>
      </c>
    </row>
    <row r="57" spans="1:10">
      <c r="A57" s="36" t="s">
        <v>38</v>
      </c>
      <c r="B57" s="2" t="s">
        <v>39</v>
      </c>
      <c r="C57" s="3"/>
      <c r="D57" s="108"/>
      <c r="E57" s="5"/>
      <c r="F57" s="5"/>
      <c r="G57" s="5"/>
      <c r="H57" s="5"/>
      <c r="I57" s="5"/>
      <c r="J57" s="37"/>
    </row>
    <row r="58" spans="1:10" ht="24" customHeight="1">
      <c r="A58" s="38" t="s">
        <v>40</v>
      </c>
      <c r="B58" s="6"/>
      <c r="C58" s="7" t="s">
        <v>41</v>
      </c>
      <c r="D58" s="107" t="s">
        <v>11</v>
      </c>
      <c r="E58" s="63">
        <v>831.7</v>
      </c>
      <c r="F58" s="63">
        <v>11.25</v>
      </c>
      <c r="G58" s="63">
        <v>842.95</v>
      </c>
      <c r="H58" s="8">
        <f t="shared" ref="H58:H60" si="8">G58*1.2293</f>
        <v>1036.2384350000002</v>
      </c>
      <c r="I58" s="18">
        <f>I55*0.03</f>
        <v>303.28859999999997</v>
      </c>
      <c r="J58" s="50">
        <f>H58*I58</f>
        <v>314279.30421734106</v>
      </c>
    </row>
    <row r="59" spans="1:10">
      <c r="A59" s="100" t="s">
        <v>138</v>
      </c>
      <c r="B59" s="6"/>
      <c r="C59" s="7" t="s">
        <v>42</v>
      </c>
      <c r="D59" s="107" t="s">
        <v>0</v>
      </c>
      <c r="E59" s="63">
        <v>5.23</v>
      </c>
      <c r="F59" s="63">
        <v>0.06</v>
      </c>
      <c r="G59" s="63">
        <f>E59+F59</f>
        <v>5.29</v>
      </c>
      <c r="H59" s="8">
        <f t="shared" si="8"/>
        <v>6.5029970000000006</v>
      </c>
      <c r="I59" s="18">
        <f>I55</f>
        <v>10109.619999999999</v>
      </c>
      <c r="J59" s="50">
        <f>H59*I59</f>
        <v>65742.828531139996</v>
      </c>
    </row>
    <row r="60" spans="1:10">
      <c r="A60" s="101" t="s">
        <v>139</v>
      </c>
      <c r="B60" s="65"/>
      <c r="C60" s="62" t="s">
        <v>133</v>
      </c>
      <c r="D60" s="64" t="s">
        <v>0</v>
      </c>
      <c r="E60" s="63">
        <v>12.23</v>
      </c>
      <c r="F60" s="63">
        <v>0.08</v>
      </c>
      <c r="G60" s="63">
        <f>E60+F60</f>
        <v>12.31</v>
      </c>
      <c r="H60" s="8">
        <f t="shared" si="8"/>
        <v>15.132683000000002</v>
      </c>
      <c r="I60" s="18">
        <f>I55</f>
        <v>10109.619999999999</v>
      </c>
      <c r="J60" s="50">
        <f>H60*I60</f>
        <v>152985.67471046001</v>
      </c>
    </row>
    <row r="61" spans="1:10">
      <c r="A61" s="36" t="s">
        <v>43</v>
      </c>
      <c r="B61" s="2" t="s">
        <v>44</v>
      </c>
      <c r="C61" s="3"/>
      <c r="D61" s="108"/>
      <c r="E61" s="5"/>
      <c r="F61" s="5"/>
      <c r="G61" s="5"/>
      <c r="H61" s="5"/>
      <c r="I61" s="5"/>
      <c r="J61" s="37"/>
    </row>
    <row r="62" spans="1:10" ht="14.1" customHeight="1">
      <c r="A62" s="62" t="s">
        <v>140</v>
      </c>
      <c r="B62" s="65"/>
      <c r="C62" s="62" t="s">
        <v>141</v>
      </c>
      <c r="D62" s="64" t="s">
        <v>11</v>
      </c>
      <c r="E62" s="63">
        <v>878.82</v>
      </c>
      <c r="F62" s="63"/>
      <c r="G62" s="63">
        <v>878.82</v>
      </c>
      <c r="H62" s="8">
        <f t="shared" ref="H62" si="9">G62*1.2293</f>
        <v>1080.3334260000001</v>
      </c>
      <c r="I62" s="18">
        <f>2056.74*0.55*0.1*0.7</f>
        <v>79.184489999999997</v>
      </c>
      <c r="J62" s="39">
        <f>H62*I62</f>
        <v>85545.651367762752</v>
      </c>
    </row>
    <row r="63" spans="1:10">
      <c r="A63" s="111"/>
      <c r="B63" s="112"/>
      <c r="C63" s="112"/>
      <c r="D63" s="112"/>
      <c r="E63" s="112"/>
      <c r="F63" s="112"/>
      <c r="G63" s="113"/>
      <c r="H63" s="54"/>
      <c r="I63" s="56" t="s">
        <v>55</v>
      </c>
      <c r="J63" s="57">
        <f>SUM(J55:J62)</f>
        <v>676267.95706840779</v>
      </c>
    </row>
    <row r="64" spans="1:10" ht="13.5" customHeight="1">
      <c r="A64" s="34" t="s">
        <v>49</v>
      </c>
      <c r="B64" s="20" t="s">
        <v>50</v>
      </c>
      <c r="C64" s="21"/>
      <c r="D64" s="22"/>
      <c r="E64" s="22"/>
      <c r="F64" s="22"/>
      <c r="G64" s="23"/>
      <c r="H64" s="23"/>
      <c r="I64" s="22"/>
      <c r="J64" s="35"/>
    </row>
    <row r="65" spans="1:10">
      <c r="A65" s="36" t="s">
        <v>45</v>
      </c>
      <c r="B65" s="2" t="s">
        <v>46</v>
      </c>
      <c r="C65" s="3"/>
      <c r="D65" s="4"/>
      <c r="E65" s="5"/>
      <c r="F65" s="5"/>
      <c r="G65" s="19"/>
      <c r="H65" s="19"/>
      <c r="I65" s="5"/>
      <c r="J65" s="37"/>
    </row>
    <row r="66" spans="1:10" ht="14.25" customHeight="1">
      <c r="A66" s="38" t="s">
        <v>47</v>
      </c>
      <c r="B66" s="6"/>
      <c r="C66" s="7" t="s">
        <v>48</v>
      </c>
      <c r="D66" s="107" t="s">
        <v>0</v>
      </c>
      <c r="E66" s="63">
        <v>22.29</v>
      </c>
      <c r="F66" s="63">
        <v>0</v>
      </c>
      <c r="G66" s="63">
        <v>22.29</v>
      </c>
      <c r="H66" s="8">
        <f t="shared" ref="H66" si="10">G66*1.2293</f>
        <v>27.401097</v>
      </c>
      <c r="I66" s="18">
        <f>16*10</f>
        <v>160</v>
      </c>
      <c r="J66" s="39">
        <f>H66*I66</f>
        <v>4384.1755199999998</v>
      </c>
    </row>
    <row r="67" spans="1:10" ht="15.75" thickBot="1">
      <c r="A67" s="143"/>
      <c r="B67" s="144"/>
      <c r="C67" s="144"/>
      <c r="D67" s="144"/>
      <c r="E67" s="144"/>
      <c r="F67" s="144"/>
      <c r="G67" s="145"/>
      <c r="H67" s="51"/>
      <c r="I67" s="59" t="s">
        <v>55</v>
      </c>
      <c r="J67" s="60">
        <f>SUM(J66)</f>
        <v>4384.1755199999998</v>
      </c>
    </row>
    <row r="68" spans="1:10" ht="18" customHeight="1" thickBot="1">
      <c r="G68" s="137" t="s">
        <v>56</v>
      </c>
      <c r="H68" s="138"/>
      <c r="I68" s="139"/>
      <c r="J68" s="40">
        <f>J66+J63+J52+J44+J37+J33+J20+J16+J12</f>
        <v>1089469.4776242599</v>
      </c>
    </row>
    <row r="69" spans="1:10" ht="36" customHeight="1">
      <c r="C69" s="26"/>
    </row>
    <row r="70" spans="1:10" ht="63.75" customHeight="1"/>
    <row r="71" spans="1:10">
      <c r="C71" s="46"/>
      <c r="G71" s="116"/>
      <c r="H71" s="116"/>
      <c r="I71" s="116"/>
    </row>
    <row r="72" spans="1:10">
      <c r="C72" s="46"/>
      <c r="G72" s="116"/>
      <c r="H72" s="116"/>
      <c r="I72" s="116"/>
    </row>
  </sheetData>
  <mergeCells count="17">
    <mergeCell ref="A6:B6"/>
    <mergeCell ref="D6:F6"/>
    <mergeCell ref="I6:J6"/>
    <mergeCell ref="G68:I68"/>
    <mergeCell ref="A7:J7"/>
    <mergeCell ref="A67:G67"/>
    <mergeCell ref="A44:G44"/>
    <mergeCell ref="A1:J1"/>
    <mergeCell ref="A2:J2"/>
    <mergeCell ref="A3:J3"/>
    <mergeCell ref="A4:J4"/>
    <mergeCell ref="A5:J5"/>
    <mergeCell ref="A52:G52"/>
    <mergeCell ref="A63:G63"/>
    <mergeCell ref="A16:G16"/>
    <mergeCell ref="G71:I71"/>
    <mergeCell ref="G72:I72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A7" sqref="A7:C8"/>
    </sheetView>
  </sheetViews>
  <sheetFormatPr defaultRowHeight="15"/>
  <cols>
    <col min="1" max="1" width="4.28515625" customWidth="1"/>
    <col min="2" max="2" width="53" customWidth="1"/>
    <col min="3" max="3" width="11.85546875" customWidth="1"/>
    <col min="5" max="5" width="7.42578125" customWidth="1"/>
    <col min="6" max="6" width="8.7109375" customWidth="1"/>
    <col min="7" max="7" width="8.140625" customWidth="1"/>
    <col min="8" max="8" width="10.28515625" customWidth="1"/>
    <col min="9" max="9" width="10.140625" bestFit="1" customWidth="1"/>
    <col min="10" max="10" width="10.28515625" customWidth="1"/>
    <col min="11" max="11" width="11.5703125" customWidth="1"/>
    <col min="12" max="12" width="12" customWidth="1"/>
    <col min="13" max="14" width="11.7109375" customWidth="1"/>
    <col min="15" max="15" width="12" customWidth="1"/>
  </cols>
  <sheetData>
    <row r="1" spans="1:15" ht="60" customHeight="1">
      <c r="A1" s="148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>
      <c r="A2" s="150" t="s">
        <v>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>
      <c r="A3" s="152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>
      <c r="A4" s="167" t="s">
        <v>66</v>
      </c>
      <c r="B4" s="168"/>
      <c r="C4" s="168"/>
      <c r="D4" s="10"/>
      <c r="E4" s="10"/>
      <c r="F4" s="10"/>
      <c r="G4" s="10"/>
      <c r="H4" s="165" t="s">
        <v>59</v>
      </c>
      <c r="I4" s="166"/>
      <c r="J4" s="166"/>
      <c r="K4" s="166"/>
      <c r="L4" s="166"/>
      <c r="M4" s="166"/>
      <c r="N4" s="166"/>
      <c r="O4" s="166"/>
    </row>
    <row r="5" spans="1:15">
      <c r="A5" s="167"/>
      <c r="B5" s="168"/>
      <c r="C5" s="168"/>
      <c r="D5" s="14" t="s">
        <v>60</v>
      </c>
      <c r="E5" s="15" t="s">
        <v>61</v>
      </c>
      <c r="F5" s="15" t="s">
        <v>62</v>
      </c>
      <c r="G5" s="15" t="s">
        <v>67</v>
      </c>
      <c r="H5" s="16">
        <v>1</v>
      </c>
      <c r="I5" s="16">
        <f>H5+1</f>
        <v>2</v>
      </c>
      <c r="J5" s="16">
        <f t="shared" ref="J5:O5" si="0">I5+1</f>
        <v>3</v>
      </c>
      <c r="K5" s="16">
        <f t="shared" si="0"/>
        <v>4</v>
      </c>
      <c r="L5" s="16">
        <f t="shared" si="0"/>
        <v>5</v>
      </c>
      <c r="M5" s="16">
        <f t="shared" si="0"/>
        <v>6</v>
      </c>
      <c r="N5" s="16">
        <f t="shared" si="0"/>
        <v>7</v>
      </c>
      <c r="O5" s="16">
        <f t="shared" si="0"/>
        <v>8</v>
      </c>
    </row>
    <row r="6" spans="1:15" ht="39.75" customHeight="1">
      <c r="A6" s="154" t="s">
        <v>143</v>
      </c>
      <c r="B6" s="155"/>
      <c r="C6" s="155"/>
      <c r="D6" s="31">
        <v>8</v>
      </c>
      <c r="E6" s="31">
        <v>1</v>
      </c>
      <c r="F6" s="32">
        <v>8</v>
      </c>
      <c r="G6" s="33"/>
      <c r="H6" s="17">
        <f t="shared" ref="H6:O7" si="1">IF(AND($E6&lt;=H$5,$F6&gt;=H$5)=TRUE,1,0)</f>
        <v>1</v>
      </c>
      <c r="I6" s="17">
        <f t="shared" si="1"/>
        <v>1</v>
      </c>
      <c r="J6" s="17">
        <f t="shared" si="1"/>
        <v>1</v>
      </c>
      <c r="K6" s="17">
        <f t="shared" si="1"/>
        <v>1</v>
      </c>
      <c r="L6" s="17">
        <f t="shared" si="1"/>
        <v>1</v>
      </c>
      <c r="M6" s="17">
        <f t="shared" si="1"/>
        <v>1</v>
      </c>
      <c r="N6" s="17">
        <f t="shared" si="1"/>
        <v>1</v>
      </c>
      <c r="O6" s="17">
        <f t="shared" si="1"/>
        <v>1</v>
      </c>
    </row>
    <row r="7" spans="1:15">
      <c r="A7" s="156" t="s">
        <v>63</v>
      </c>
      <c r="B7" s="156"/>
      <c r="C7" s="157"/>
      <c r="D7" s="160">
        <v>8</v>
      </c>
      <c r="E7" s="162">
        <f>MIN(E11:E24)</f>
        <v>1</v>
      </c>
      <c r="F7" s="162">
        <v>8</v>
      </c>
      <c r="G7" s="163"/>
      <c r="H7" s="11">
        <f t="shared" si="1"/>
        <v>1</v>
      </c>
      <c r="I7" s="11">
        <f t="shared" si="1"/>
        <v>1</v>
      </c>
      <c r="J7" s="11">
        <f t="shared" si="1"/>
        <v>1</v>
      </c>
      <c r="K7" s="11">
        <f t="shared" si="1"/>
        <v>1</v>
      </c>
      <c r="L7" s="11">
        <f t="shared" si="1"/>
        <v>1</v>
      </c>
      <c r="M7" s="11">
        <f t="shared" si="1"/>
        <v>1</v>
      </c>
      <c r="N7" s="11">
        <f t="shared" si="1"/>
        <v>1</v>
      </c>
      <c r="O7" s="11">
        <f t="shared" si="1"/>
        <v>1</v>
      </c>
    </row>
    <row r="8" spans="1:15">
      <c r="A8" s="158"/>
      <c r="B8" s="158"/>
      <c r="C8" s="159"/>
      <c r="D8" s="161"/>
      <c r="E8" s="161"/>
      <c r="F8" s="161"/>
      <c r="G8" s="164"/>
      <c r="H8" s="11"/>
      <c r="I8" s="11"/>
      <c r="J8" s="11"/>
      <c r="K8" s="11"/>
      <c r="L8" s="11"/>
      <c r="M8" s="11"/>
      <c r="N8" s="11"/>
      <c r="O8" s="11"/>
    </row>
    <row r="9" spans="1:15">
      <c r="A9" s="169">
        <v>1</v>
      </c>
      <c r="B9" s="176" t="str">
        <f>PPU!B9</f>
        <v>SERVIÇO TÉCNICO ESPECIALIZADO</v>
      </c>
      <c r="C9" s="171">
        <f>PPU!J12</f>
        <v>6586.71060898</v>
      </c>
      <c r="D9" s="173">
        <f>F9-E9+1</f>
        <v>1</v>
      </c>
      <c r="E9" s="175">
        <v>1</v>
      </c>
      <c r="F9" s="175">
        <v>1</v>
      </c>
      <c r="G9" s="12" t="s">
        <v>59</v>
      </c>
      <c r="H9" s="13">
        <f t="shared" ref="H9:O11" si="2">IF(IF(AND($E9&lt;=H$5,$F9&gt;=H$5)=TRUE,1,0)=1,$C9/$D9,0)</f>
        <v>6586.71060898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</row>
    <row r="10" spans="1:15">
      <c r="A10" s="170"/>
      <c r="B10" s="177"/>
      <c r="C10" s="172"/>
      <c r="D10" s="174"/>
      <c r="E10" s="174"/>
      <c r="F10" s="174"/>
      <c r="G10" s="12" t="s">
        <v>64</v>
      </c>
      <c r="H10" s="13">
        <f>IF(H9&gt;0,H9,0)</f>
        <v>6586.71060898</v>
      </c>
      <c r="I10" s="13">
        <f>IF(I9&gt;0,I9+H10,0)</f>
        <v>0</v>
      </c>
      <c r="J10" s="13">
        <f t="shared" ref="J10:O12" si="3">IF(J9&gt;0,J9+I10,0)</f>
        <v>0</v>
      </c>
      <c r="K10" s="13">
        <f t="shared" ref="K10" si="4">IF(K9&gt;0,K9+J10,0)</f>
        <v>0</v>
      </c>
      <c r="L10" s="13">
        <f t="shared" ref="L10" si="5">IF(L9&gt;0,L9+K10,0)</f>
        <v>0</v>
      </c>
      <c r="M10" s="13">
        <f t="shared" ref="M10" si="6">IF(M9&gt;0,M9+L10,0)</f>
        <v>0</v>
      </c>
      <c r="N10" s="13">
        <f t="shared" ref="N10" si="7">IF(N9&gt;0,N9+M10,0)</f>
        <v>0</v>
      </c>
      <c r="O10" s="13">
        <f t="shared" si="3"/>
        <v>0</v>
      </c>
    </row>
    <row r="11" spans="1:15">
      <c r="A11" s="169">
        <v>2</v>
      </c>
      <c r="B11" s="176" t="s">
        <v>100</v>
      </c>
      <c r="C11" s="171">
        <f>PPU!J16</f>
        <v>2896.6241760000003</v>
      </c>
      <c r="D11" s="173">
        <f t="shared" ref="D11" si="8">F11-E11+1</f>
        <v>1</v>
      </c>
      <c r="E11" s="175">
        <v>1</v>
      </c>
      <c r="F11" s="175">
        <v>1</v>
      </c>
      <c r="G11" s="12" t="s">
        <v>59</v>
      </c>
      <c r="H11" s="13">
        <f t="shared" si="2"/>
        <v>2896.6241760000003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</row>
    <row r="12" spans="1:15">
      <c r="A12" s="170"/>
      <c r="B12" s="177"/>
      <c r="C12" s="172"/>
      <c r="D12" s="174"/>
      <c r="E12" s="174"/>
      <c r="F12" s="174"/>
      <c r="G12" s="12" t="s">
        <v>64</v>
      </c>
      <c r="H12" s="13">
        <f>IF(H11&gt;0,H11,0)</f>
        <v>2896.6241760000003</v>
      </c>
      <c r="I12" s="13">
        <f>IF(I11&gt;0,I11+H12,0)</f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</row>
    <row r="13" spans="1:15">
      <c r="A13" s="169">
        <v>3</v>
      </c>
      <c r="B13" s="176" t="s">
        <v>101</v>
      </c>
      <c r="C13" s="171">
        <f>PPU!J26+PPU!J30+PPU!J37+PPU!J44+PPU!J52</f>
        <v>310699.25541455997</v>
      </c>
      <c r="D13" s="173">
        <f t="shared" ref="D13" si="9">F13-E13+1</f>
        <v>4</v>
      </c>
      <c r="E13" s="175">
        <v>1</v>
      </c>
      <c r="F13" s="175">
        <v>4</v>
      </c>
      <c r="G13" s="12" t="s">
        <v>59</v>
      </c>
      <c r="H13" s="13">
        <f t="shared" ref="H13:O13" si="10">IF(IF(AND($E13&lt;=H$5,$F13&gt;=H$5)=TRUE,1,0)=1,$C13/$D13,0)</f>
        <v>77674.813853639993</v>
      </c>
      <c r="I13" s="13">
        <f t="shared" si="10"/>
        <v>77674.813853639993</v>
      </c>
      <c r="J13" s="13">
        <f t="shared" si="10"/>
        <v>77674.813853639993</v>
      </c>
      <c r="K13" s="13">
        <f t="shared" si="10"/>
        <v>77674.813853639993</v>
      </c>
      <c r="L13" s="13">
        <f t="shared" si="10"/>
        <v>0</v>
      </c>
      <c r="M13" s="13">
        <f t="shared" si="10"/>
        <v>0</v>
      </c>
      <c r="N13" s="13">
        <f t="shared" si="10"/>
        <v>0</v>
      </c>
      <c r="O13" s="13">
        <f t="shared" si="10"/>
        <v>0</v>
      </c>
    </row>
    <row r="14" spans="1:15">
      <c r="A14" s="170"/>
      <c r="B14" s="177"/>
      <c r="C14" s="172"/>
      <c r="D14" s="174"/>
      <c r="E14" s="174"/>
      <c r="F14" s="174"/>
      <c r="G14" s="12" t="s">
        <v>64</v>
      </c>
      <c r="H14" s="13">
        <f>IF(H13&gt;0,H13,0)</f>
        <v>77674.813853639993</v>
      </c>
      <c r="I14" s="13">
        <f>IF(I13&gt;0,I13+H14,0)</f>
        <v>155349.62770727999</v>
      </c>
      <c r="J14" s="13">
        <f t="shared" ref="J14:O14" si="11">IF(J13&gt;0,J13+I14,0)</f>
        <v>233024.44156091998</v>
      </c>
      <c r="K14" s="13">
        <f t="shared" si="11"/>
        <v>310699.25541455997</v>
      </c>
      <c r="L14" s="13">
        <f t="shared" si="11"/>
        <v>0</v>
      </c>
      <c r="M14" s="13">
        <f t="shared" si="11"/>
        <v>0</v>
      </c>
      <c r="N14" s="13">
        <f t="shared" si="11"/>
        <v>0</v>
      </c>
      <c r="O14" s="13">
        <f t="shared" si="11"/>
        <v>0</v>
      </c>
    </row>
    <row r="15" spans="1:15">
      <c r="A15" s="169">
        <v>3</v>
      </c>
      <c r="B15" s="176" t="s">
        <v>102</v>
      </c>
      <c r="C15" s="171">
        <f>PPU!J20+PPU!J23+PPU!J24+PPU!J28+PPU!J32+PPU!J55+PPU!J56</f>
        <v>146349.25307801599</v>
      </c>
      <c r="D15" s="173">
        <f>F15-E15+1</f>
        <v>4</v>
      </c>
      <c r="E15" s="175">
        <v>2</v>
      </c>
      <c r="F15" s="175">
        <v>5</v>
      </c>
      <c r="G15" s="12" t="s">
        <v>59</v>
      </c>
      <c r="H15" s="13">
        <f t="shared" ref="H15:O15" si="12">IF(IF(AND($E15&lt;=H$5,$F15&gt;=H$5)=TRUE,1,0)=1,$C15/$D15,0)</f>
        <v>0</v>
      </c>
      <c r="I15" s="13">
        <f t="shared" si="12"/>
        <v>36587.313269503997</v>
      </c>
      <c r="J15" s="13">
        <f t="shared" si="12"/>
        <v>36587.313269503997</v>
      </c>
      <c r="K15" s="13">
        <f t="shared" si="12"/>
        <v>36587.313269503997</v>
      </c>
      <c r="L15" s="13">
        <f t="shared" si="12"/>
        <v>36587.313269503997</v>
      </c>
      <c r="M15" s="13">
        <f t="shared" si="12"/>
        <v>0</v>
      </c>
      <c r="N15" s="13">
        <f t="shared" si="12"/>
        <v>0</v>
      </c>
      <c r="O15" s="13">
        <f t="shared" si="12"/>
        <v>0</v>
      </c>
    </row>
    <row r="16" spans="1:15">
      <c r="A16" s="170"/>
      <c r="B16" s="177"/>
      <c r="C16" s="172"/>
      <c r="D16" s="174"/>
      <c r="E16" s="174"/>
      <c r="F16" s="174"/>
      <c r="G16" s="12" t="s">
        <v>64</v>
      </c>
      <c r="H16" s="13">
        <f>IF(H15&gt;0,H15,0)</f>
        <v>0</v>
      </c>
      <c r="I16" s="13">
        <f>IF(I15&gt;0,I15+H16,0)</f>
        <v>36587.313269503997</v>
      </c>
      <c r="J16" s="13">
        <f t="shared" ref="J16:O16" si="13">IF(J15&gt;0,J15+I16,0)</f>
        <v>73174.626539007993</v>
      </c>
      <c r="K16" s="13">
        <f t="shared" si="13"/>
        <v>109761.93980851199</v>
      </c>
      <c r="L16" s="13">
        <f t="shared" si="13"/>
        <v>146349.25307801599</v>
      </c>
      <c r="M16" s="13">
        <f t="shared" si="13"/>
        <v>0</v>
      </c>
      <c r="N16" s="13">
        <f t="shared" si="13"/>
        <v>0</v>
      </c>
      <c r="O16" s="13">
        <f t="shared" si="13"/>
        <v>0</v>
      </c>
    </row>
    <row r="17" spans="1:15">
      <c r="A17" s="174">
        <v>4</v>
      </c>
      <c r="B17" s="176" t="s">
        <v>103</v>
      </c>
      <c r="C17" s="171">
        <f>PPU!J62</f>
        <v>85545.651367762752</v>
      </c>
      <c r="D17" s="173">
        <f>F17-E17+1</f>
        <v>4</v>
      </c>
      <c r="E17" s="178">
        <v>2</v>
      </c>
      <c r="F17" s="175">
        <v>5</v>
      </c>
      <c r="G17" s="12" t="s">
        <v>59</v>
      </c>
      <c r="H17" s="13">
        <f t="shared" ref="H17:O17" si="14">IF(IF(AND($E17&lt;=H$5,$F17&gt;=H$5)=TRUE,1,0)=1,$C17/$D17,0)</f>
        <v>0</v>
      </c>
      <c r="I17" s="13">
        <f t="shared" si="14"/>
        <v>21386.412841940688</v>
      </c>
      <c r="J17" s="13">
        <f t="shared" si="14"/>
        <v>21386.412841940688</v>
      </c>
      <c r="K17" s="13">
        <f t="shared" si="14"/>
        <v>21386.412841940688</v>
      </c>
      <c r="L17" s="13">
        <f t="shared" si="14"/>
        <v>21386.412841940688</v>
      </c>
      <c r="M17" s="13">
        <f t="shared" si="14"/>
        <v>0</v>
      </c>
      <c r="N17" s="13">
        <f t="shared" si="14"/>
        <v>0</v>
      </c>
      <c r="O17" s="13">
        <f t="shared" si="14"/>
        <v>0</v>
      </c>
    </row>
    <row r="18" spans="1:15">
      <c r="A18" s="174"/>
      <c r="B18" s="177"/>
      <c r="C18" s="172"/>
      <c r="D18" s="174"/>
      <c r="E18" s="179"/>
      <c r="F18" s="174"/>
      <c r="G18" s="12" t="s">
        <v>64</v>
      </c>
      <c r="H18" s="13">
        <f>IF(H17&gt;0,H17,0)</f>
        <v>0</v>
      </c>
      <c r="I18" s="13">
        <f>IF(I17&gt;0,I17+H18,0)</f>
        <v>21386.412841940688</v>
      </c>
      <c r="J18" s="13">
        <f t="shared" ref="J18:O18" si="15">IF(J17&gt;0,J17+I18,0)</f>
        <v>42772.825683881376</v>
      </c>
      <c r="K18" s="13">
        <f t="shared" si="15"/>
        <v>64159.23852582206</v>
      </c>
      <c r="L18" s="13">
        <f t="shared" si="15"/>
        <v>85545.651367762752</v>
      </c>
      <c r="M18" s="13">
        <f t="shared" si="15"/>
        <v>0</v>
      </c>
      <c r="N18" s="13">
        <f t="shared" si="15"/>
        <v>0</v>
      </c>
      <c r="O18" s="13">
        <f t="shared" si="15"/>
        <v>0</v>
      </c>
    </row>
    <row r="19" spans="1:15">
      <c r="A19" s="174">
        <v>5</v>
      </c>
      <c r="B19" s="176" t="s">
        <v>104</v>
      </c>
      <c r="C19" s="171">
        <f>PPU!J60+PPU!J59</f>
        <v>218728.5032416</v>
      </c>
      <c r="D19" s="173">
        <f>F19-E19+1</f>
        <v>6</v>
      </c>
      <c r="E19" s="178">
        <v>3</v>
      </c>
      <c r="F19" s="175">
        <v>8</v>
      </c>
      <c r="G19" s="12" t="s">
        <v>59</v>
      </c>
      <c r="H19" s="13">
        <f t="shared" ref="H19:O19" si="16">IF(IF(AND($E19&lt;=H$5,$F19&gt;=H$5)=TRUE,1,0)=1,$C19/$D19,0)</f>
        <v>0</v>
      </c>
      <c r="I19" s="13">
        <f t="shared" si="16"/>
        <v>0</v>
      </c>
      <c r="J19" s="13">
        <f t="shared" si="16"/>
        <v>36454.750540266665</v>
      </c>
      <c r="K19" s="13">
        <f t="shared" si="16"/>
        <v>36454.750540266665</v>
      </c>
      <c r="L19" s="13">
        <f t="shared" si="16"/>
        <v>36454.750540266665</v>
      </c>
      <c r="M19" s="13">
        <f t="shared" si="16"/>
        <v>36454.750540266665</v>
      </c>
      <c r="N19" s="13">
        <f t="shared" si="16"/>
        <v>36454.750540266665</v>
      </c>
      <c r="O19" s="13">
        <f t="shared" si="16"/>
        <v>36454.750540266665</v>
      </c>
    </row>
    <row r="20" spans="1:15">
      <c r="A20" s="174"/>
      <c r="B20" s="177"/>
      <c r="C20" s="172"/>
      <c r="D20" s="174"/>
      <c r="E20" s="179"/>
      <c r="F20" s="174"/>
      <c r="G20" s="12" t="s">
        <v>64</v>
      </c>
      <c r="H20" s="13">
        <f>IF(H19&gt;0,H19,0)</f>
        <v>0</v>
      </c>
      <c r="I20" s="13">
        <f>IF(I19&gt;0,I19+H20,0)</f>
        <v>0</v>
      </c>
      <c r="J20" s="13">
        <f t="shared" ref="J20:O20" si="17">IF(J19&gt;0,J19+I20,0)</f>
        <v>36454.750540266665</v>
      </c>
      <c r="K20" s="13">
        <f t="shared" si="17"/>
        <v>72909.50108053333</v>
      </c>
      <c r="L20" s="13">
        <f t="shared" si="17"/>
        <v>109364.2516208</v>
      </c>
      <c r="M20" s="13">
        <f t="shared" si="17"/>
        <v>145819.00216106666</v>
      </c>
      <c r="N20" s="13">
        <f t="shared" si="17"/>
        <v>182273.75270133332</v>
      </c>
      <c r="O20" s="13">
        <f t="shared" si="17"/>
        <v>218728.50324159997</v>
      </c>
    </row>
    <row r="21" spans="1:15">
      <c r="A21" s="174">
        <v>6</v>
      </c>
      <c r="B21" s="176" t="s">
        <v>105</v>
      </c>
      <c r="C21" s="171">
        <f>PPU!J58</f>
        <v>314279.30421734106</v>
      </c>
      <c r="D21" s="173">
        <f>F21-E21+1</f>
        <v>6</v>
      </c>
      <c r="E21" s="178">
        <v>3</v>
      </c>
      <c r="F21" s="175">
        <v>8</v>
      </c>
      <c r="G21" s="12" t="s">
        <v>59</v>
      </c>
      <c r="H21" s="13">
        <f t="shared" ref="H21:O21" si="18">IF(IF(AND($E21&lt;=H$5,$F21&gt;=H$5)=TRUE,1,0)=1,$C21/$D21,0)</f>
        <v>0</v>
      </c>
      <c r="I21" s="13">
        <f t="shared" si="18"/>
        <v>0</v>
      </c>
      <c r="J21" s="13">
        <f t="shared" si="18"/>
        <v>52379.884036223513</v>
      </c>
      <c r="K21" s="13">
        <f t="shared" si="18"/>
        <v>52379.884036223513</v>
      </c>
      <c r="L21" s="13">
        <f t="shared" si="18"/>
        <v>52379.884036223513</v>
      </c>
      <c r="M21" s="13">
        <f t="shared" si="18"/>
        <v>52379.884036223513</v>
      </c>
      <c r="N21" s="13">
        <f t="shared" si="18"/>
        <v>52379.884036223513</v>
      </c>
      <c r="O21" s="13">
        <f t="shared" si="18"/>
        <v>52379.884036223513</v>
      </c>
    </row>
    <row r="22" spans="1:15">
      <c r="A22" s="174"/>
      <c r="B22" s="177"/>
      <c r="C22" s="172"/>
      <c r="D22" s="174"/>
      <c r="E22" s="179"/>
      <c r="F22" s="174"/>
      <c r="G22" s="12" t="s">
        <v>64</v>
      </c>
      <c r="H22" s="13">
        <f>IF(H21&gt;0,H21,0)</f>
        <v>0</v>
      </c>
      <c r="I22" s="13">
        <f>IF(I21&gt;0,I21+H22,0)</f>
        <v>0</v>
      </c>
      <c r="J22" s="13">
        <f t="shared" ref="J22:O22" si="19">IF(J21&gt;0,J21+I22,0)</f>
        <v>52379.884036223513</v>
      </c>
      <c r="K22" s="13">
        <f t="shared" si="19"/>
        <v>104759.76807244703</v>
      </c>
      <c r="L22" s="13">
        <f t="shared" si="19"/>
        <v>157139.65210867053</v>
      </c>
      <c r="M22" s="13">
        <f t="shared" si="19"/>
        <v>209519.53614489405</v>
      </c>
      <c r="N22" s="13">
        <f t="shared" si="19"/>
        <v>261899.42018111757</v>
      </c>
      <c r="O22" s="13">
        <f t="shared" si="19"/>
        <v>314279.30421734106</v>
      </c>
    </row>
    <row r="23" spans="1:15">
      <c r="A23" s="174">
        <v>7</v>
      </c>
      <c r="B23" s="176" t="s">
        <v>106</v>
      </c>
      <c r="C23" s="171">
        <f>PPU!J67</f>
        <v>4384.1755199999998</v>
      </c>
      <c r="D23" s="173">
        <f>F23-E23+1</f>
        <v>3</v>
      </c>
      <c r="E23" s="178">
        <v>6</v>
      </c>
      <c r="F23" s="175">
        <v>8</v>
      </c>
      <c r="G23" s="12" t="s">
        <v>59</v>
      </c>
      <c r="H23" s="13">
        <f t="shared" ref="H23:O23" si="20">IF(IF(AND($E23&lt;=H$5,$F23&gt;=H$5)=TRUE,1,0)=1,$C23/$D23,0)</f>
        <v>0</v>
      </c>
      <c r="I23" s="13">
        <f t="shared" si="20"/>
        <v>0</v>
      </c>
      <c r="J23" s="13">
        <f t="shared" si="20"/>
        <v>0</v>
      </c>
      <c r="K23" s="13">
        <f t="shared" si="20"/>
        <v>0</v>
      </c>
      <c r="L23" s="13">
        <f t="shared" si="20"/>
        <v>0</v>
      </c>
      <c r="M23" s="13">
        <f t="shared" si="20"/>
        <v>1461.39184</v>
      </c>
      <c r="N23" s="13">
        <f t="shared" si="20"/>
        <v>1461.39184</v>
      </c>
      <c r="O23" s="13">
        <f t="shared" si="20"/>
        <v>1461.39184</v>
      </c>
    </row>
    <row r="24" spans="1:15">
      <c r="A24" s="174"/>
      <c r="B24" s="177"/>
      <c r="C24" s="172"/>
      <c r="D24" s="174"/>
      <c r="E24" s="179"/>
      <c r="F24" s="174"/>
      <c r="G24" s="12" t="s">
        <v>64</v>
      </c>
      <c r="H24" s="13">
        <f>IF(H23&gt;0,H23,0)</f>
        <v>0</v>
      </c>
      <c r="I24" s="13">
        <f>IF(I23&gt;0,I23+H24,0)</f>
        <v>0</v>
      </c>
      <c r="J24" s="13">
        <f t="shared" ref="J24:O24" si="21">IF(J23&gt;0,J23+I24,0)</f>
        <v>0</v>
      </c>
      <c r="K24" s="13">
        <f t="shared" si="21"/>
        <v>0</v>
      </c>
      <c r="L24" s="13">
        <f t="shared" si="21"/>
        <v>0</v>
      </c>
      <c r="M24" s="13">
        <f t="shared" si="21"/>
        <v>1461.39184</v>
      </c>
      <c r="N24" s="13">
        <f t="shared" si="21"/>
        <v>2922.78368</v>
      </c>
      <c r="O24" s="13">
        <f t="shared" si="21"/>
        <v>4384.1755199999998</v>
      </c>
    </row>
    <row r="25" spans="1:15">
      <c r="A25" s="28"/>
      <c r="B25" s="180" t="s">
        <v>65</v>
      </c>
      <c r="C25" s="182">
        <f>SUM(C9:C24)</f>
        <v>1089469.4776242599</v>
      </c>
      <c r="D25" s="184">
        <f t="shared" ref="D25" si="22">F25-E25+1</f>
        <v>8</v>
      </c>
      <c r="E25" s="186">
        <v>1</v>
      </c>
      <c r="F25" s="186">
        <v>8</v>
      </c>
      <c r="G25" s="27" t="s">
        <v>59</v>
      </c>
      <c r="H25" s="30">
        <f>H9+H11+H13+H15+H17+H19+H21+H23</f>
        <v>87158.148638619998</v>
      </c>
      <c r="I25" s="30">
        <f t="shared" ref="I25:O25" si="23">I11+I13+I15+I17+I19+I21+I23</f>
        <v>135648.53996508467</v>
      </c>
      <c r="J25" s="30">
        <f t="shared" si="23"/>
        <v>224483.17454157484</v>
      </c>
      <c r="K25" s="30">
        <f t="shared" si="23"/>
        <v>224483.17454157484</v>
      </c>
      <c r="L25" s="30">
        <f t="shared" si="23"/>
        <v>146808.36068793488</v>
      </c>
      <c r="M25" s="30">
        <f t="shared" si="23"/>
        <v>90296.026416490175</v>
      </c>
      <c r="N25" s="30">
        <f t="shared" si="23"/>
        <v>90296.026416490175</v>
      </c>
      <c r="O25" s="30">
        <f t="shared" si="23"/>
        <v>90296.026416490175</v>
      </c>
    </row>
    <row r="26" spans="1:15">
      <c r="A26" s="29"/>
      <c r="B26" s="181"/>
      <c r="C26" s="183"/>
      <c r="D26" s="185"/>
      <c r="E26" s="186"/>
      <c r="F26" s="186"/>
      <c r="G26" s="27" t="s">
        <v>64</v>
      </c>
      <c r="H26" s="30">
        <f>H25</f>
        <v>87158.148638619998</v>
      </c>
      <c r="I26" s="30">
        <f>H26+I25</f>
        <v>222806.68860370468</v>
      </c>
      <c r="J26" s="30">
        <f t="shared" ref="J26:M26" si="24">I26+J25</f>
        <v>447289.86314527952</v>
      </c>
      <c r="K26" s="30">
        <f t="shared" si="24"/>
        <v>671773.03768685437</v>
      </c>
      <c r="L26" s="30">
        <f t="shared" si="24"/>
        <v>818581.39837478928</v>
      </c>
      <c r="M26" s="30">
        <f t="shared" si="24"/>
        <v>908877.42479127948</v>
      </c>
      <c r="N26" s="30">
        <f t="shared" ref="N26" si="25">M26+N25</f>
        <v>999173.45120776969</v>
      </c>
      <c r="O26" s="30">
        <f t="shared" ref="O26" si="26">N26+O25</f>
        <v>1089469.4776242599</v>
      </c>
    </row>
  </sheetData>
  <mergeCells count="64">
    <mergeCell ref="F9:F10"/>
    <mergeCell ref="A9:A10"/>
    <mergeCell ref="B9:B10"/>
    <mergeCell ref="C9:C10"/>
    <mergeCell ref="D9:D10"/>
    <mergeCell ref="E9:E10"/>
    <mergeCell ref="B25:B26"/>
    <mergeCell ref="C25:C26"/>
    <mergeCell ref="D25:D26"/>
    <mergeCell ref="E25:E26"/>
    <mergeCell ref="F25:F26"/>
    <mergeCell ref="F23:F24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B21:B22"/>
    <mergeCell ref="B23:B24"/>
    <mergeCell ref="F19:F20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B17:B18"/>
    <mergeCell ref="B19:B20"/>
    <mergeCell ref="A15:A16"/>
    <mergeCell ref="C15:C16"/>
    <mergeCell ref="D15:D16"/>
    <mergeCell ref="E15:E16"/>
    <mergeCell ref="F15:F16"/>
    <mergeCell ref="B15:B16"/>
    <mergeCell ref="A11:A12"/>
    <mergeCell ref="C13:C14"/>
    <mergeCell ref="D13:D14"/>
    <mergeCell ref="E13:E14"/>
    <mergeCell ref="F13:F14"/>
    <mergeCell ref="A13:A14"/>
    <mergeCell ref="B13:B14"/>
    <mergeCell ref="B11:B12"/>
    <mergeCell ref="C11:C12"/>
    <mergeCell ref="D11:D12"/>
    <mergeCell ref="E11:E12"/>
    <mergeCell ref="F11:F12"/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</mergeCells>
  <conditionalFormatting sqref="H6:O8">
    <cfRule type="cellIs" dxfId="3" priority="4" operator="equal">
      <formula>1</formula>
    </cfRule>
  </conditionalFormatting>
  <conditionalFormatting sqref="H6:O6">
    <cfRule type="cellIs" dxfId="2" priority="3" operator="equal">
      <formula>1</formula>
    </cfRule>
  </conditionalFormatting>
  <conditionalFormatting sqref="H7:O8">
    <cfRule type="cellIs" dxfId="1" priority="2" operator="equal">
      <formula>1</formula>
    </cfRule>
  </conditionalFormatting>
  <conditionalFormatting sqref="H9:O24">
    <cfRule type="cellIs" dxfId="0" priority="1" operator="notEqual">
      <formula>0</formula>
    </cfRule>
  </conditionalFormatting>
  <pageMargins left="0.25" right="0.25" top="0.75" bottom="0.75" header="0.3" footer="0.3"/>
  <pageSetup paperSize="9" scale="7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PPU</vt:lpstr>
      <vt:lpstr>CRONOGRAMA</vt:lpstr>
      <vt:lpstr>PPU!Area_de_impressao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2020-04-16T13:11:46Z</cp:lastPrinted>
  <dcterms:created xsi:type="dcterms:W3CDTF">2018-04-06T14:41:31Z</dcterms:created>
  <dcterms:modified xsi:type="dcterms:W3CDTF">2020-04-16T15:03:22Z</dcterms:modified>
</cp:coreProperties>
</file>