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020" activeTab="1"/>
  </bookViews>
  <sheets>
    <sheet name="PPU" sheetId="1" r:id="rId1"/>
    <sheet name="CRONOGRAMA" sheetId="2" r:id="rId2"/>
  </sheets>
  <definedNames>
    <definedName name="_xlnm.Print_Area" localSheetId="0">PPU!$A$1:$J$70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/>
  <c r="G64"/>
  <c r="G62" l="1"/>
  <c r="G61"/>
  <c r="H62" l="1"/>
  <c r="H61"/>
  <c r="I68" l="1"/>
  <c r="I36" l="1"/>
  <c r="I26"/>
  <c r="H49"/>
  <c r="J49" s="1"/>
  <c r="H44"/>
  <c r="J44" s="1"/>
  <c r="H43"/>
  <c r="J43" s="1"/>
  <c r="I19"/>
  <c r="J36" l="1"/>
  <c r="J37" s="1"/>
  <c r="H36"/>
  <c r="H28"/>
  <c r="H24"/>
  <c r="O9" i="2"/>
  <c r="O10" s="1"/>
  <c r="K9"/>
  <c r="K10" s="1"/>
  <c r="L9"/>
  <c r="L10" s="1"/>
  <c r="M9"/>
  <c r="M10" s="1"/>
  <c r="N9"/>
  <c r="N10" s="1"/>
  <c r="J9"/>
  <c r="J10" s="1"/>
  <c r="I9"/>
  <c r="I10" s="1"/>
  <c r="D23"/>
  <c r="D21"/>
  <c r="D19"/>
  <c r="D15"/>
  <c r="D17"/>
  <c r="D11"/>
  <c r="D13"/>
  <c r="D9"/>
  <c r="B9"/>
  <c r="H11" i="1"/>
  <c r="J11" s="1"/>
  <c r="J12" s="1"/>
  <c r="C9" i="2" s="1"/>
  <c r="H9" s="1"/>
  <c r="H10" s="1"/>
  <c r="I30" i="1" l="1"/>
  <c r="I61" l="1"/>
  <c r="I62" s="1"/>
  <c r="J62" s="1"/>
  <c r="I60"/>
  <c r="I58"/>
  <c r="I52"/>
  <c r="I23"/>
  <c r="I32" l="1"/>
  <c r="I24"/>
  <c r="H32"/>
  <c r="H26"/>
  <c r="J26" s="1"/>
  <c r="J24" l="1"/>
  <c r="I28"/>
  <c r="J28" s="1"/>
  <c r="J32"/>
  <c r="H64"/>
  <c r="H58"/>
  <c r="H60"/>
  <c r="H57"/>
  <c r="H50"/>
  <c r="H51"/>
  <c r="H52"/>
  <c r="H53"/>
  <c r="H40"/>
  <c r="H41"/>
  <c r="H42"/>
  <c r="H48"/>
  <c r="H30"/>
  <c r="H23"/>
  <c r="H19"/>
  <c r="J51" l="1"/>
  <c r="J52"/>
  <c r="J53"/>
  <c r="J50"/>
  <c r="J68" l="1"/>
  <c r="J61"/>
  <c r="C19" i="2" s="1"/>
  <c r="J60" i="1"/>
  <c r="C21" i="2" s="1"/>
  <c r="J58" i="1"/>
  <c r="J57"/>
  <c r="J48"/>
  <c r="J54" s="1"/>
  <c r="J41"/>
  <c r="J45" s="1"/>
  <c r="J40"/>
  <c r="J42"/>
  <c r="J30"/>
  <c r="J23"/>
  <c r="J33" s="1"/>
  <c r="J19"/>
  <c r="J20" s="1"/>
  <c r="C15" i="2" l="1"/>
  <c r="J69" i="1"/>
  <c r="C23" i="2" s="1"/>
  <c r="C13"/>
  <c r="H15" i="1"/>
  <c r="J15" s="1"/>
  <c r="J16" s="1"/>
  <c r="C11" i="2" s="1"/>
  <c r="J64" i="1"/>
  <c r="C17" i="2" s="1"/>
  <c r="J65" i="1" l="1"/>
  <c r="J70" s="1"/>
  <c r="H6" i="2"/>
  <c r="D25"/>
  <c r="I5"/>
  <c r="I6" s="1"/>
  <c r="J5" l="1"/>
  <c r="J11" s="1"/>
  <c r="K5" l="1"/>
  <c r="K11" s="1"/>
  <c r="L5" l="1"/>
  <c r="L11" s="1"/>
  <c r="K15"/>
  <c r="L13" l="1"/>
  <c r="M5"/>
  <c r="M13" s="1"/>
  <c r="M14" s="1"/>
  <c r="H15"/>
  <c r="H16" s="1"/>
  <c r="L15"/>
  <c r="N5"/>
  <c r="M15"/>
  <c r="M11" l="1"/>
  <c r="M12" s="1"/>
  <c r="H17"/>
  <c r="N23"/>
  <c r="N11"/>
  <c r="N12" s="1"/>
  <c r="O5"/>
  <c r="N13"/>
  <c r="N14" s="1"/>
  <c r="N15"/>
  <c r="N16" s="1"/>
  <c r="M16"/>
  <c r="H18" l="1"/>
  <c r="O23"/>
  <c r="O13"/>
  <c r="O14" s="1"/>
  <c r="O11"/>
  <c r="O12" s="1"/>
  <c r="O15"/>
  <c r="O16" s="1"/>
  <c r="O17"/>
  <c r="O19" l="1"/>
  <c r="H19"/>
  <c r="H20" l="1"/>
  <c r="H21"/>
  <c r="H22" s="1"/>
  <c r="I21"/>
  <c r="E7"/>
  <c r="I22" l="1"/>
  <c r="J6"/>
  <c r="K6"/>
  <c r="O7" l="1"/>
  <c r="L7"/>
  <c r="I7"/>
  <c r="H7"/>
  <c r="N7"/>
  <c r="K7"/>
  <c r="M7"/>
  <c r="J7"/>
  <c r="O6"/>
  <c r="M6"/>
  <c r="N6"/>
  <c r="L6"/>
  <c r="I19" l="1"/>
  <c r="I20" s="1"/>
  <c r="I13" l="1"/>
  <c r="J13"/>
  <c r="K13"/>
  <c r="M19"/>
  <c r="N19"/>
  <c r="L19"/>
  <c r="M21"/>
  <c r="N21"/>
  <c r="O21"/>
  <c r="O25" s="1"/>
  <c r="L21"/>
  <c r="N17" l="1"/>
  <c r="N25" s="1"/>
  <c r="M17"/>
  <c r="L17"/>
  <c r="K17"/>
  <c r="J21"/>
  <c r="J22" s="1"/>
  <c r="K21"/>
  <c r="H13"/>
  <c r="H14" s="1"/>
  <c r="I14" s="1"/>
  <c r="J14" s="1"/>
  <c r="K14" s="1"/>
  <c r="L14" s="1"/>
  <c r="C25" l="1"/>
  <c r="K23"/>
  <c r="L23"/>
  <c r="L25" s="1"/>
  <c r="M23"/>
  <c r="M25" s="1"/>
  <c r="I17"/>
  <c r="J17"/>
  <c r="K19"/>
  <c r="J19"/>
  <c r="I15"/>
  <c r="J15"/>
  <c r="K22"/>
  <c r="L22" s="1"/>
  <c r="M22" s="1"/>
  <c r="N22" s="1"/>
  <c r="O22" s="1"/>
  <c r="H23"/>
  <c r="H24" s="1"/>
  <c r="I23"/>
  <c r="J23"/>
  <c r="K25" l="1"/>
  <c r="H11"/>
  <c r="I11"/>
  <c r="I25" s="1"/>
  <c r="J25"/>
  <c r="I18"/>
  <c r="J18" s="1"/>
  <c r="K18" s="1"/>
  <c r="L18" s="1"/>
  <c r="M18" s="1"/>
  <c r="N18" s="1"/>
  <c r="O18" s="1"/>
  <c r="J20"/>
  <c r="K20" s="1"/>
  <c r="L20" s="1"/>
  <c r="M20" s="1"/>
  <c r="N20" s="1"/>
  <c r="O20" s="1"/>
  <c r="I16"/>
  <c r="J16" s="1"/>
  <c r="K16" s="1"/>
  <c r="L16" s="1"/>
  <c r="I24"/>
  <c r="J24" s="1"/>
  <c r="K24" s="1"/>
  <c r="L24" s="1"/>
  <c r="M24" s="1"/>
  <c r="N24" s="1"/>
  <c r="O24" s="1"/>
  <c r="H25" l="1"/>
  <c r="H26" s="1"/>
  <c r="I26" s="1"/>
  <c r="J26" s="1"/>
  <c r="K26" s="1"/>
  <c r="L26" s="1"/>
  <c r="M26" s="1"/>
  <c r="N26" s="1"/>
  <c r="H12"/>
  <c r="I12" s="1"/>
  <c r="J12" s="1"/>
  <c r="K12" s="1"/>
  <c r="L12" s="1"/>
  <c r="O26" l="1"/>
</calcChain>
</file>

<file path=xl/sharedStrings.xml><?xml version="1.0" encoding="utf-8"?>
<sst xmlns="http://schemas.openxmlformats.org/spreadsheetml/2006/main" count="199" uniqueCount="148">
  <si>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</si>
  <si>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</si>
  <si>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</si>
  <si>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</si>
  <si>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</si>
  <si>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</si>
  <si>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</si>
  <si>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</si>
  <si>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</si>
  <si>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</si>
  <si>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</si>
  <si>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</si>
  <si>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</si>
  <si>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</si>
  <si>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</si>
  <si>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</si>
  <si>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</si>
  <si>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</si>
  <si>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46</t>
  </si>
  <si>
    <t>TUBULAÇÃO E CONDUTORES PARA LÍQUIDOS E GASES.</t>
  </si>
  <si>
    <t>46.12</t>
  </si>
  <si>
    <t>Tubulação em concreto para rede de águas pluviais</t>
  </si>
  <si>
    <t>46.12.150</t>
  </si>
  <si>
    <t>Tubo de concreto (PA-2), DN= 600mm</t>
  </si>
  <si>
    <t>46.12.170</t>
  </si>
  <si>
    <t>Tubo de concreto (PA-2), DN= 1000mm</t>
  </si>
  <si>
    <t>49</t>
  </si>
  <si>
    <t>CAIXA, RALO, GRELHA E ACESSÓRIO HIDRÁULICO</t>
  </si>
  <si>
    <t>49.12</t>
  </si>
  <si>
    <t>Poço de visita / boca de lobo / caixa de passagem e afins</t>
  </si>
  <si>
    <t>49.12.010</t>
  </si>
  <si>
    <t>Boca de lobo simples tipo PMSP com tampa de concreto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</si>
  <si>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</si>
  <si>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</si>
  <si>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</si>
  <si>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</si>
  <si>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</si>
  <si>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</si>
  <si>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54.03</t>
  </si>
  <si>
    <t>Pavimentação flexível</t>
  </si>
  <si>
    <t>54.03.210</t>
  </si>
  <si>
    <t>Camada de rolamento em concreto betuminoso usinado quente - CBUQ</t>
  </si>
  <si>
    <t>Imprimação betuminosa ligante</t>
  </si>
  <si>
    <t>54.06</t>
  </si>
  <si>
    <t>Guias e sarjetas</t>
  </si>
  <si>
    <t>97.04</t>
  </si>
  <si>
    <t>Pintura de sinalização viária</t>
  </si>
  <si>
    <t>97.04.010</t>
  </si>
  <si>
    <t>Sinalização horizontal com tinta vinílica ou acrílica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</si>
  <si>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</si>
  <si>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</si>
  <si>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</si>
  <si>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</si>
  <si>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</si>
  <si>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</si>
  <si>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</si>
  <si>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</si>
  <si>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05</t>
  </si>
  <si>
    <t>TRANSPORTE E MOVIMENTAÇÃO, DENTRO E FORA DA OBRA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</si>
  <si>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</si>
  <si>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</si>
  <si>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</si>
  <si>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</si>
  <si>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</si>
  <si>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</si>
  <si>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</si>
  <si>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</si>
  <si>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</si>
  <si>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>07.11</t>
  </si>
  <si>
    <t>Reaterro mecanizado sem fornecimento de material</t>
  </si>
  <si>
    <t>07.11.020</t>
  </si>
  <si>
    <t>Reaterro compactado mecanizado de vala ou cava com compactador</t>
  </si>
  <si>
    <t>46.12.160</t>
  </si>
  <si>
    <t>Tubo de concreto (PA-2), DN= 800mm</t>
  </si>
  <si>
    <t>05.10</t>
  </si>
  <si>
    <t>Transporte mecanizado de solo</t>
  </si>
  <si>
    <t>05.10.020</t>
  </si>
  <si>
    <t>Transporte de solo de 1ª e 2ª categoria por caminhão até o 2° km</t>
  </si>
  <si>
    <t xml:space="preserve">CONVÊNIO: </t>
  </si>
  <si>
    <t xml:space="preserve">LOCAL: PIRAJUÍ </t>
  </si>
  <si>
    <t>49.12.140</t>
  </si>
  <si>
    <t>Poço de visita em alvenaria tipo PMSP - balão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</si>
  <si>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</si>
  <si>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</si>
  <si>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</si>
  <si>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</si>
  <si>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</si>
  <si>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</si>
  <si>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Armadura em tela soldada de aço - Q 196</t>
  </si>
  <si>
    <t>07.12.030</t>
  </si>
  <si>
    <t>Compactação de aterro mecanizado a 100% PN, sem fornecimento de solo em campo aberto</t>
  </si>
  <si>
    <t>Valor com BDI 22,93 %</t>
  </si>
  <si>
    <t>FONTE: CPOS - 176</t>
  </si>
  <si>
    <t>07.02.020</t>
  </si>
  <si>
    <t>Escavação mecanizada de valas ou cavas com profundidade de até 2 m</t>
  </si>
  <si>
    <t>02</t>
  </si>
  <si>
    <t>INÍCIO, APOIO E ADMINISTRAÇÃO DA OBRA</t>
  </si>
  <si>
    <t>02.08.020</t>
  </si>
  <si>
    <t>Placa de identificação para obra</t>
  </si>
  <si>
    <t>02.08</t>
  </si>
  <si>
    <t>Sinalização de obra</t>
  </si>
  <si>
    <t>PLACA DA OBRA</t>
  </si>
  <si>
    <t>DRENAGEM</t>
  </si>
  <si>
    <t>TERRAPLANAGEM</t>
  </si>
  <si>
    <t>GUIAS E SARJETAS</t>
  </si>
  <si>
    <t>RECAPEAMENTO ASFÁLTICO - CBUQ</t>
  </si>
  <si>
    <t>SINALIZAÇÃO VIÁRIA</t>
  </si>
  <si>
    <t>FINISA</t>
  </si>
  <si>
    <t>DATA BASE: JULHO 2019</t>
  </si>
  <si>
    <t>01</t>
  </si>
  <si>
    <t>SERVIÇO TÉCNICO ESPECIALIZADO</t>
  </si>
  <si>
    <t>01.20</t>
  </si>
  <si>
    <t>Levantamento topográfico e geofísico</t>
  </si>
  <si>
    <t>01.20.751</t>
  </si>
  <si>
    <t>Levantamento planimétrico cadastral com áreas acima de 50% de ocupação - área até 20.000 m² (mínimo de 4.000 m²)</t>
  </si>
  <si>
    <t>07.01.120</t>
  </si>
  <si>
    <t>07.02</t>
  </si>
  <si>
    <t>Escavação mecanizada de valas e buracos em solo, exceto rocha</t>
  </si>
  <si>
    <t>07.12.040</t>
  </si>
  <si>
    <t>Aterro mecanizado por compensação, solo de 1ª categoria em campo aberto, sem compactação do aterro</t>
  </si>
  <si>
    <t>07.12</t>
  </si>
  <si>
    <t>Aterro mecanizado sem fornecimento de material</t>
  </si>
  <si>
    <t>Carga e remoção de terra até a distância média de 3 km</t>
  </si>
  <si>
    <t>07.10</t>
  </si>
  <si>
    <t>Apiloamento e nivelamento mecanizado de solo</t>
  </si>
  <si>
    <t>07.10.020</t>
  </si>
  <si>
    <t>Espalhamento de solo em bota-fora com compactação sem controle</t>
  </si>
  <si>
    <t>08</t>
  </si>
  <si>
    <t>ESCORAMENTO, CONTENÇÃO E DRENAGEM</t>
  </si>
  <si>
    <t>08.01</t>
  </si>
  <si>
    <t>Escoramento</t>
  </si>
  <si>
    <t>08.01.060</t>
  </si>
  <si>
    <t>Escoramento de solo pontaletado</t>
  </si>
  <si>
    <t>46.12.240</t>
  </si>
  <si>
    <t>Meio tubo de concreto, DN= 600mm</t>
  </si>
  <si>
    <t>24.04.220</t>
  </si>
  <si>
    <t>Grade de segurança em aço SAE 1045, diâmetro 1´, sem têmpera e revenimento</t>
  </si>
  <si>
    <t>49.12.120</t>
  </si>
  <si>
    <t>Chaminé para poço de visita tipo PMSP em alvenaria, diâmetro interno 70 cm - pescoço</t>
  </si>
  <si>
    <t>Imprimação betuminosa impermeabilizante</t>
  </si>
  <si>
    <t>IMPRIMAÇÃO BETUMINOSA LIGANTE E IMPERMEABILIZANTE</t>
  </si>
  <si>
    <t xml:space="preserve">54.03.230 </t>
  </si>
  <si>
    <t xml:space="preserve">54.03.240 </t>
  </si>
  <si>
    <t>54.06.150</t>
  </si>
  <si>
    <t>Execução de perfil extrusado no local</t>
  </si>
  <si>
    <t xml:space="preserve">OBRA: Infraestrutura da Vila Ortiz </t>
  </si>
  <si>
    <t xml:space="preserve">Obras de Infraestruturano Bairro Vila Ortiz no Município de Pirajuí </t>
  </si>
  <si>
    <t xml:space="preserve">Obras de Infraestrutura da Vila Ortiz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</si>
</sst>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1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2" fillId="82" borderId="30" xfId="3292" applyFont="1" applyFill="1" applyBorder="1" applyAlignment="1">
      <alignment horizontal="center"/>
    </xf>
    <xf numFmtId="3" fontId="102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0" fontId="3" fillId="4" borderId="56" xfId="1" applyFont="1" applyFill="1" applyBorder="1"/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2" fontId="0" fillId="5" borderId="57" xfId="0" applyNumberFormat="1" applyFill="1" applyBorder="1"/>
    <xf numFmtId="0" fontId="0" fillId="0" borderId="69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85" borderId="2" xfId="0" applyFont="1" applyFill="1" applyBorder="1" applyAlignment="1">
      <alignment horizontal="left" vertical="top"/>
    </xf>
    <xf numFmtId="0" fontId="104" fillId="85" borderId="2" xfId="0" applyFont="1" applyFill="1" applyBorder="1" applyAlignment="1">
      <alignment horizontal="left" vertical="top" wrapText="1"/>
    </xf>
    <xf numFmtId="0" fontId="3" fillId="85" borderId="1" xfId="1" applyFont="1" applyFill="1" applyBorder="1"/>
    <xf numFmtId="0" fontId="3" fillId="85" borderId="1" xfId="1" applyFont="1" applyFill="1" applyBorder="1" applyAlignment="1"/>
    <xf numFmtId="0" fontId="3" fillId="85" borderId="1" xfId="1" applyFont="1" applyFill="1" applyBorder="1" applyAlignment="1">
      <alignment wrapText="1"/>
    </xf>
    <xf numFmtId="43" fontId="3" fillId="85" borderId="1" xfId="2" applyFont="1" applyFill="1" applyBorder="1"/>
    <xf numFmtId="0" fontId="104" fillId="4" borderId="39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104" fillId="4" borderId="39" xfId="0" applyFont="1" applyFill="1" applyBorder="1" applyAlignment="1">
      <alignment horizontal="center" vertical="top" wrapText="1"/>
    </xf>
    <xf numFmtId="43" fontId="104" fillId="4" borderId="39" xfId="2" applyFont="1" applyFill="1" applyBorder="1" applyAlignment="1">
      <alignment horizontal="right" vertical="top" wrapText="1"/>
    </xf>
    <xf numFmtId="43" fontId="18" fillId="26" borderId="1" xfId="2" applyFont="1" applyFill="1" applyBorder="1" applyAlignment="1">
      <alignment horizontal="center" vertical="top" wrapText="1"/>
    </xf>
    <xf numFmtId="0" fontId="103" fillId="86" borderId="1" xfId="0" applyFont="1" applyFill="1" applyBorder="1" applyAlignment="1">
      <alignment horizontal="left" vertical="top"/>
    </xf>
    <xf numFmtId="0" fontId="104" fillId="86" borderId="1" xfId="0" applyFont="1" applyFill="1" applyBorder="1" applyAlignment="1">
      <alignment horizontal="left" vertical="top" wrapText="1"/>
    </xf>
    <xf numFmtId="0" fontId="104" fillId="86" borderId="1" xfId="0" applyFont="1" applyFill="1" applyBorder="1" applyAlignment="1">
      <alignment horizontal="center" vertical="top" wrapText="1"/>
    </xf>
    <xf numFmtId="43" fontId="104" fillId="86" borderId="1" xfId="2" applyFont="1" applyFill="1" applyBorder="1" applyAlignment="1">
      <alignment horizontal="right" vertical="top" wrapText="1"/>
    </xf>
    <xf numFmtId="0" fontId="103" fillId="86" borderId="2" xfId="0" applyFont="1" applyFill="1" applyBorder="1" applyAlignment="1">
      <alignment horizontal="left" vertical="top"/>
    </xf>
    <xf numFmtId="0" fontId="104" fillId="86" borderId="2" xfId="0" applyFont="1" applyFill="1" applyBorder="1" applyAlignment="1">
      <alignment horizontal="left" vertical="top" wrapText="1"/>
    </xf>
    <xf numFmtId="0" fontId="104" fillId="86" borderId="2" xfId="0" applyFont="1" applyFill="1" applyBorder="1" applyAlignment="1">
      <alignment horizontal="center" vertical="top" wrapText="1"/>
    </xf>
    <xf numFmtId="43" fontId="104" fillId="86" borderId="2" xfId="2" applyFont="1" applyFill="1" applyBorder="1" applyAlignment="1">
      <alignment horizontal="right" vertical="top" wrapText="1"/>
    </xf>
    <xf numFmtId="0" fontId="103" fillId="4" borderId="1" xfId="0" applyFont="1" applyFill="1" applyBorder="1" applyAlignment="1">
      <alignment horizontal="left" vertical="top"/>
    </xf>
    <xf numFmtId="0" fontId="104" fillId="4" borderId="1" xfId="0" applyFont="1" applyFill="1" applyBorder="1" applyAlignment="1">
      <alignment horizontal="left" vertical="top" wrapText="1"/>
    </xf>
    <xf numFmtId="0" fontId="104" fillId="4" borderId="1" xfId="0" applyFont="1" applyFill="1" applyBorder="1" applyAlignment="1">
      <alignment horizontal="center" vertical="top" wrapText="1"/>
    </xf>
    <xf numFmtId="43" fontId="104" fillId="4" borderId="1" xfId="2" applyFont="1" applyFill="1" applyBorder="1" applyAlignment="1">
      <alignment horizontal="right" vertical="top" wrapText="1"/>
    </xf>
    <xf numFmtId="0" fontId="15" fillId="5" borderId="0" xfId="0" applyFont="1" applyFill="1"/>
    <xf numFmtId="43" fontId="18" fillId="5" borderId="1" xfId="2" applyFont="1" applyFill="1" applyBorder="1"/>
    <xf numFmtId="43" fontId="18" fillId="5" borderId="1" xfId="2" applyFont="1" applyFill="1" applyBorder="1" applyAlignment="1">
      <alignment horizontal="right" vertical="top" wrapText="1"/>
    </xf>
    <xf numFmtId="49" fontId="5" fillId="0" borderId="56" xfId="1" applyNumberFormat="1" applyFont="1" applyBorder="1" applyAlignment="1">
      <alignment wrapText="1"/>
    </xf>
    <xf numFmtId="49" fontId="18" fillId="26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49" fontId="53" fillId="4" borderId="23" xfId="493" quotePrefix="1" applyNumberFormat="1" applyFont="1" applyFill="1" applyBorder="1" applyAlignment="1">
      <alignment horizontal="center" vertical="center"/>
    </xf>
    <xf numFmtId="49" fontId="53" fillId="4" borderId="24" xfId="493" quotePrefix="1" applyNumberFormat="1" applyFont="1" applyFill="1" applyBorder="1" applyAlignment="1">
      <alignment horizontal="center" vertical="center"/>
    </xf>
    <xf numFmtId="49" fontId="53" fillId="4" borderId="25" xfId="493" quotePrefix="1" applyNumberFormat="1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101" fillId="0" borderId="29" xfId="3292" applyFont="1" applyBorder="1" applyAlignment="1">
      <alignment horizontal="center" vertical="center"/>
    </xf>
    <xf numFmtId="0" fontId="101" fillId="0" borderId="0" xfId="3292" applyFont="1" applyBorder="1" applyAlignment="1">
      <alignment horizontal="center" vertical="center"/>
    </xf>
    <xf numFmtId="0" fontId="9" fillId="0" borderId="46" xfId="3292" applyBorder="1" applyAlignment="1">
      <alignment horizontal="center" vertical="center"/>
    </xf>
    <xf numFmtId="0" fontId="9" fillId="0" borderId="50" xfId="3292" applyBorder="1" applyAlignment="1">
      <alignment horizontal="center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3" fontId="9" fillId="0" borderId="30" xfId="3292" applyNumberFormat="1" applyFill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3" fontId="9" fillId="0" borderId="30" xfId="3292" applyNumberFormat="1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3" fontId="9" fillId="0" borderId="46" xfId="3292" applyNumberFormat="1" applyBorder="1" applyAlignment="1">
      <alignment horizontal="center" vertical="center"/>
    </xf>
    <xf numFmtId="3" fontId="9" fillId="0" borderId="50" xfId="3292" applyNumberFormat="1" applyBorder="1" applyAlignment="1">
      <alignment horizontal="center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</cellXfs>
  <cellStyles count="6215">
    <cellStyle name="0,0&#10;&#10;NA&#10;&#10;" xfId="1410"/>
    <cellStyle name="0,0&#10;&#10;NA&#10;&#10; 2" xfId="1411"/>
    <cellStyle name="0,0&#10;&#10;NA&#10;&#10; 2 2" xfId="1412"/>
    <cellStyle name="0,0_x000d_&#10;NA_x000d_&#10;" xfId="499"/>
    <cellStyle name="0,0_x000d_&#10;NA_x000d_&#10; 2" xfId="500"/>
    <cellStyle name="0,0_x000d_&#10;NA_x000d_&#10;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4"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19050</xdr:colOff>
      <xdr:row>2</xdr:row>
      <xdr:rowOff>123825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A5" sqref="A5:J5"/>
    </sheetView>
  </sheetViews>
  <sheetFormatPr defaultRowHeight="15"/>
  <cols>
    <col min="1" max="1" width="10.7109375" customWidth="1"/>
    <col min="2" max="2" width="5" customWidth="1"/>
    <col min="3" max="3" width="48.85546875" customWidth="1"/>
    <col min="4" max="4" width="6.140625" customWidth="1"/>
    <col min="5" max="5" width="9.28515625" customWidth="1"/>
    <col min="6" max="6" width="9.85546875" customWidth="1"/>
    <col min="7" max="7" width="11.7109375" customWidth="1"/>
    <col min="8" max="8" width="12.140625" customWidth="1"/>
    <col min="9" max="9" width="11.5703125" customWidth="1"/>
    <col min="10" max="10" width="15" style="9" customWidth="1"/>
  </cols>
  <sheetData>
    <row r="1" spans="1:10" ht="64.5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>
      <c r="A3" s="110" t="s">
        <v>53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ht="18">
      <c r="A4" s="113" t="s">
        <v>54</v>
      </c>
      <c r="B4" s="114"/>
      <c r="C4" s="114"/>
      <c r="D4" s="114"/>
      <c r="E4" s="114"/>
      <c r="F4" s="114"/>
      <c r="G4" s="114"/>
      <c r="H4" s="114"/>
      <c r="I4" s="114"/>
      <c r="J4" s="115"/>
    </row>
    <row r="5" spans="1:10" ht="16.5" customHeight="1" thickBot="1">
      <c r="A5" s="116" t="s">
        <v>146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10" ht="40.5" customHeight="1" thickBot="1">
      <c r="A6" s="119" t="s">
        <v>79</v>
      </c>
      <c r="B6" s="120"/>
      <c r="C6" s="24" t="s">
        <v>145</v>
      </c>
      <c r="D6" s="121" t="s">
        <v>108</v>
      </c>
      <c r="E6" s="122"/>
      <c r="F6" s="123"/>
      <c r="G6" s="25" t="s">
        <v>78</v>
      </c>
      <c r="H6" s="61" t="s">
        <v>107</v>
      </c>
      <c r="I6" s="119" t="s">
        <v>92</v>
      </c>
      <c r="J6" s="120"/>
    </row>
    <row r="7" spans="1:10" ht="7.5" customHeight="1" thickBot="1">
      <c r="A7" s="127"/>
      <c r="B7" s="128"/>
      <c r="C7" s="128"/>
      <c r="D7" s="128"/>
      <c r="E7" s="128"/>
      <c r="F7" s="128"/>
      <c r="G7" s="128"/>
      <c r="H7" s="128"/>
      <c r="I7" s="128"/>
      <c r="J7" s="129"/>
    </row>
    <row r="8" spans="1:10" ht="25.5">
      <c r="A8" s="41" t="s">
        <v>1</v>
      </c>
      <c r="B8" s="42" t="s">
        <v>2</v>
      </c>
      <c r="C8" s="43"/>
      <c r="D8" s="44" t="s">
        <v>3</v>
      </c>
      <c r="E8" s="44" t="s">
        <v>4</v>
      </c>
      <c r="F8" s="44" t="s">
        <v>5</v>
      </c>
      <c r="G8" s="44" t="s">
        <v>6</v>
      </c>
      <c r="H8" s="44" t="s">
        <v>91</v>
      </c>
      <c r="I8" s="44" t="s">
        <v>8</v>
      </c>
      <c r="J8" s="45" t="s">
        <v>9</v>
      </c>
    </row>
    <row r="9" spans="1:10">
      <c r="A9" s="86" t="s">
        <v>109</v>
      </c>
      <c r="B9" s="86" t="s">
        <v>110</v>
      </c>
      <c r="C9" s="87"/>
      <c r="D9" s="88"/>
      <c r="E9" s="89"/>
      <c r="F9" s="89"/>
      <c r="G9" s="89"/>
      <c r="H9" s="89"/>
      <c r="I9" s="89"/>
      <c r="J9" s="89"/>
    </row>
    <row r="10" spans="1:10">
      <c r="A10" s="72" t="s">
        <v>111</v>
      </c>
      <c r="B10" s="73" t="s">
        <v>112</v>
      </c>
      <c r="C10" s="72"/>
      <c r="D10" s="83"/>
      <c r="E10" s="84"/>
      <c r="F10" s="84"/>
      <c r="G10" s="84"/>
      <c r="H10" s="84"/>
      <c r="I10" s="84"/>
      <c r="J10" s="84"/>
    </row>
    <row r="11" spans="1:10" ht="38.25">
      <c r="A11" s="62" t="s">
        <v>113</v>
      </c>
      <c r="B11" s="65"/>
      <c r="C11" s="62" t="s">
        <v>114</v>
      </c>
      <c r="D11" s="64" t="s">
        <v>0</v>
      </c>
      <c r="E11" s="85">
        <v>0.25</v>
      </c>
      <c r="F11" s="63">
        <v>0.28000000000000003</v>
      </c>
      <c r="G11" s="63">
        <v>0.53</v>
      </c>
      <c r="H11" s="8">
        <f>G11*1.2293</f>
        <v>0.65152900000000002</v>
      </c>
      <c r="I11" s="18">
        <v>6826.22</v>
      </c>
      <c r="J11" s="50">
        <f>H11*I11</f>
        <v>4447.48029038</v>
      </c>
    </row>
    <row r="12" spans="1:10">
      <c r="A12" s="79"/>
      <c r="B12" s="80"/>
      <c r="C12" s="81"/>
      <c r="D12" s="82"/>
      <c r="E12" s="82"/>
      <c r="F12" s="82"/>
      <c r="G12" s="82"/>
      <c r="H12" s="82"/>
      <c r="I12" s="56" t="s">
        <v>55</v>
      </c>
      <c r="J12" s="57">
        <f>SUM(J11)</f>
        <v>4447.48029038</v>
      </c>
    </row>
    <row r="13" spans="1:10">
      <c r="A13" s="66" t="s">
        <v>95</v>
      </c>
      <c r="B13" s="66" t="s">
        <v>96</v>
      </c>
      <c r="C13" s="67"/>
      <c r="D13" s="22"/>
      <c r="E13" s="22"/>
      <c r="F13" s="22"/>
      <c r="G13" s="22"/>
      <c r="H13" s="22"/>
      <c r="I13" s="22"/>
      <c r="J13" s="35"/>
    </row>
    <row r="14" spans="1:10">
      <c r="A14" s="72" t="s">
        <v>99</v>
      </c>
      <c r="B14" s="73" t="s">
        <v>100</v>
      </c>
      <c r="C14" s="72"/>
      <c r="D14" s="4"/>
      <c r="E14" s="5"/>
      <c r="F14" s="5"/>
      <c r="G14" s="5"/>
      <c r="H14" s="5"/>
      <c r="I14" s="5"/>
      <c r="J14" s="37"/>
    </row>
    <row r="15" spans="1:10" ht="16.5" customHeight="1">
      <c r="A15" s="62" t="s">
        <v>97</v>
      </c>
      <c r="B15" s="65"/>
      <c r="C15" s="62" t="s">
        <v>98</v>
      </c>
      <c r="D15" s="64" t="s">
        <v>0</v>
      </c>
      <c r="E15" s="63">
        <v>330.7</v>
      </c>
      <c r="F15" s="63">
        <v>62.02</v>
      </c>
      <c r="G15" s="63">
        <v>392.72</v>
      </c>
      <c r="H15" s="8">
        <f>G15*1.2293</f>
        <v>482.77069600000004</v>
      </c>
      <c r="I15" s="18">
        <v>6</v>
      </c>
      <c r="J15" s="39">
        <f>H15*I15</f>
        <v>2896.6241760000003</v>
      </c>
    </row>
    <row r="16" spans="1:10">
      <c r="A16" s="140"/>
      <c r="B16" s="141"/>
      <c r="C16" s="141"/>
      <c r="D16" s="141"/>
      <c r="E16" s="141"/>
      <c r="F16" s="141"/>
      <c r="G16" s="141"/>
      <c r="H16" s="55"/>
      <c r="I16" s="56" t="s">
        <v>55</v>
      </c>
      <c r="J16" s="57">
        <f>SUM(J15)</f>
        <v>2896.6241760000003</v>
      </c>
    </row>
    <row r="17" spans="1:13">
      <c r="A17" s="68" t="s">
        <v>57</v>
      </c>
      <c r="B17" s="69" t="s">
        <v>58</v>
      </c>
      <c r="C17" s="70"/>
      <c r="D17" s="71"/>
      <c r="E17" s="71"/>
      <c r="F17" s="71"/>
      <c r="G17" s="71"/>
      <c r="H17" s="71"/>
      <c r="I17" s="71"/>
      <c r="J17" s="71"/>
    </row>
    <row r="18" spans="1:13">
      <c r="A18" s="1" t="s">
        <v>74</v>
      </c>
      <c r="B18" s="2" t="s">
        <v>75</v>
      </c>
      <c r="C18" s="3"/>
      <c r="D18" s="4"/>
      <c r="E18" s="5"/>
      <c r="F18" s="5"/>
      <c r="G18" s="5"/>
      <c r="H18" s="5"/>
      <c r="I18" s="5"/>
      <c r="J18" s="5"/>
    </row>
    <row r="19" spans="1:13" ht="26.25" customHeight="1">
      <c r="A19" s="6" t="s">
        <v>76</v>
      </c>
      <c r="B19" s="6"/>
      <c r="C19" s="7" t="s">
        <v>77</v>
      </c>
      <c r="D19" s="6" t="s">
        <v>11</v>
      </c>
      <c r="E19" s="63">
        <v>4.68</v>
      </c>
      <c r="F19" s="63">
        <v>0</v>
      </c>
      <c r="G19" s="63">
        <v>4.68</v>
      </c>
      <c r="H19" s="8">
        <f>G19*1.2293</f>
        <v>5.7531239999999997</v>
      </c>
      <c r="I19" s="74">
        <f>0.2*I11</f>
        <v>1365.2440000000001</v>
      </c>
      <c r="J19" s="39">
        <f>H19*I19</f>
        <v>7854.4180222560008</v>
      </c>
    </row>
    <row r="20" spans="1:13">
      <c r="A20" s="6"/>
      <c r="B20" s="6"/>
      <c r="C20" s="7"/>
      <c r="D20" s="6"/>
      <c r="E20" s="8"/>
      <c r="F20" s="8"/>
      <c r="G20" s="8"/>
      <c r="H20" s="8"/>
      <c r="I20" s="56" t="s">
        <v>55</v>
      </c>
      <c r="J20" s="58">
        <f>SUM(J19)</f>
        <v>7854.4180222560008</v>
      </c>
    </row>
    <row r="21" spans="1:13">
      <c r="A21" s="68" t="s">
        <v>12</v>
      </c>
      <c r="B21" s="69" t="s">
        <v>13</v>
      </c>
      <c r="C21" s="70"/>
      <c r="D21" s="71"/>
      <c r="E21" s="71"/>
      <c r="F21" s="71"/>
      <c r="G21" s="71"/>
      <c r="H21" s="71"/>
      <c r="I21" s="71"/>
      <c r="J21" s="71"/>
    </row>
    <row r="22" spans="1:13">
      <c r="A22" s="1" t="s">
        <v>14</v>
      </c>
      <c r="B22" s="2" t="s">
        <v>15</v>
      </c>
      <c r="C22" s="3"/>
      <c r="D22" s="4"/>
      <c r="E22" s="5"/>
      <c r="F22" s="5"/>
      <c r="G22" s="5"/>
      <c r="H22" s="5"/>
      <c r="I22" s="5"/>
      <c r="J22" s="5"/>
    </row>
    <row r="23" spans="1:13" ht="26.25">
      <c r="A23" s="6" t="s">
        <v>16</v>
      </c>
      <c r="B23" s="6"/>
      <c r="C23" s="7" t="s">
        <v>17</v>
      </c>
      <c r="D23" s="6" t="s">
        <v>11</v>
      </c>
      <c r="E23" s="63">
        <v>8.36</v>
      </c>
      <c r="F23" s="63">
        <v>0.19</v>
      </c>
      <c r="G23" s="63">
        <v>8.5500000000000007</v>
      </c>
      <c r="H23" s="8">
        <f>G23*1.2293</f>
        <v>10.510515000000002</v>
      </c>
      <c r="I23" s="74">
        <f>I19</f>
        <v>1365.2440000000001</v>
      </c>
      <c r="J23" s="8">
        <f>H23*I23</f>
        <v>14349.417540660004</v>
      </c>
    </row>
    <row r="24" spans="1:13">
      <c r="A24" s="62" t="s">
        <v>115</v>
      </c>
      <c r="B24" s="65"/>
      <c r="C24" s="62" t="s">
        <v>122</v>
      </c>
      <c r="D24" s="64" t="s">
        <v>11</v>
      </c>
      <c r="E24" s="63">
        <v>8.0299999999999994</v>
      </c>
      <c r="F24" s="63">
        <v>0</v>
      </c>
      <c r="G24" s="63">
        <v>8.0299999999999994</v>
      </c>
      <c r="H24" s="8">
        <f>G24*1.2293</f>
        <v>9.8712789999999995</v>
      </c>
      <c r="I24" s="74">
        <f>I23</f>
        <v>1365.2440000000001</v>
      </c>
      <c r="J24" s="8">
        <f>H24*I24</f>
        <v>13476.704427076</v>
      </c>
    </row>
    <row r="25" spans="1:13">
      <c r="A25" s="72" t="s">
        <v>116</v>
      </c>
      <c r="B25" s="73" t="s">
        <v>117</v>
      </c>
      <c r="C25" s="72"/>
      <c r="D25" s="83"/>
      <c r="E25" s="84"/>
      <c r="F25" s="84"/>
      <c r="G25" s="84"/>
      <c r="H25" s="84"/>
      <c r="I25" s="84"/>
      <c r="J25" s="84"/>
    </row>
    <row r="26" spans="1:13" ht="25.5">
      <c r="A26" s="62" t="s">
        <v>93</v>
      </c>
      <c r="B26" s="65"/>
      <c r="C26" s="62" t="s">
        <v>94</v>
      </c>
      <c r="D26" s="64" t="s">
        <v>11</v>
      </c>
      <c r="E26" s="63">
        <v>5.69</v>
      </c>
      <c r="F26" s="63">
        <v>0.87</v>
      </c>
      <c r="G26" s="63">
        <v>6.56</v>
      </c>
      <c r="H26" s="8">
        <f>G26*1.2293</f>
        <v>8.0642080000000007</v>
      </c>
      <c r="I26" s="74">
        <f>(I40+I41+I42)*1.8</f>
        <v>955.80000000000007</v>
      </c>
      <c r="J26" s="8">
        <f>H26*I26</f>
        <v>7707.770006400001</v>
      </c>
    </row>
    <row r="27" spans="1:13">
      <c r="A27" s="72" t="s">
        <v>123</v>
      </c>
      <c r="B27" s="73" t="s">
        <v>124</v>
      </c>
      <c r="C27" s="72"/>
      <c r="D27" s="83"/>
      <c r="E27" s="84"/>
      <c r="F27" s="84"/>
      <c r="G27" s="84"/>
      <c r="H27" s="8"/>
      <c r="I27" s="74"/>
      <c r="J27" s="8"/>
    </row>
    <row r="28" spans="1:13" ht="25.5">
      <c r="A28" s="62" t="s">
        <v>125</v>
      </c>
      <c r="B28" s="65"/>
      <c r="C28" s="62" t="s">
        <v>126</v>
      </c>
      <c r="D28" s="64" t="s">
        <v>11</v>
      </c>
      <c r="E28" s="63">
        <v>3.17</v>
      </c>
      <c r="F28" s="63">
        <v>0.08</v>
      </c>
      <c r="G28" s="63">
        <v>3.25</v>
      </c>
      <c r="H28" s="8">
        <f>G28*1.2293</f>
        <v>3.995225</v>
      </c>
      <c r="I28" s="74">
        <f>I24</f>
        <v>1365.2440000000001</v>
      </c>
      <c r="J28" s="8">
        <f>H28*I28</f>
        <v>5454.4569599000006</v>
      </c>
    </row>
    <row r="29" spans="1:13">
      <c r="A29" s="1" t="s">
        <v>68</v>
      </c>
      <c r="B29" s="2" t="s">
        <v>69</v>
      </c>
      <c r="C29" s="3"/>
      <c r="D29" s="4"/>
      <c r="E29" s="5"/>
      <c r="F29" s="5"/>
      <c r="G29" s="5"/>
      <c r="H29" s="5"/>
      <c r="I29" s="5"/>
      <c r="J29" s="5"/>
    </row>
    <row r="30" spans="1:13" ht="26.25">
      <c r="A30" s="6" t="s">
        <v>70</v>
      </c>
      <c r="B30" s="6"/>
      <c r="C30" s="7" t="s">
        <v>71</v>
      </c>
      <c r="D30" s="6" t="s">
        <v>11</v>
      </c>
      <c r="E30" s="63">
        <v>2.7</v>
      </c>
      <c r="F30" s="63">
        <v>1.88</v>
      </c>
      <c r="G30" s="63">
        <v>4.58</v>
      </c>
      <c r="H30" s="8">
        <f>G30*1.2293</f>
        <v>5.6301940000000004</v>
      </c>
      <c r="I30" s="8">
        <f>I26*0.7</f>
        <v>669.06000000000006</v>
      </c>
      <c r="J30" s="8">
        <f>H30*I30</f>
        <v>3766.9375976400006</v>
      </c>
    </row>
    <row r="31" spans="1:13">
      <c r="A31" s="72" t="s">
        <v>120</v>
      </c>
      <c r="B31" s="73" t="s">
        <v>121</v>
      </c>
      <c r="C31" s="72"/>
      <c r="D31" s="83"/>
      <c r="E31" s="84"/>
      <c r="F31" s="84"/>
      <c r="G31" s="84"/>
      <c r="H31" s="84"/>
      <c r="I31" s="84"/>
      <c r="J31" s="84"/>
      <c r="M31" s="98"/>
    </row>
    <row r="32" spans="1:13" ht="27" customHeight="1">
      <c r="A32" s="62" t="s">
        <v>118</v>
      </c>
      <c r="B32" s="65"/>
      <c r="C32" s="62" t="s">
        <v>119</v>
      </c>
      <c r="D32" s="64" t="s">
        <v>11</v>
      </c>
      <c r="E32" s="63">
        <v>10.88</v>
      </c>
      <c r="F32" s="63">
        <v>0.27</v>
      </c>
      <c r="G32" s="63">
        <v>11.15</v>
      </c>
      <c r="H32" s="8">
        <f>G32*1.2293</f>
        <v>13.706695000000002</v>
      </c>
      <c r="I32" s="8">
        <f>I23</f>
        <v>1365.2440000000001</v>
      </c>
      <c r="J32" s="8">
        <f>H32*I32</f>
        <v>18712.983108580003</v>
      </c>
    </row>
    <row r="33" spans="1:10">
      <c r="A33" s="47"/>
      <c r="B33" s="48"/>
      <c r="C33" s="48"/>
      <c r="D33" s="48"/>
      <c r="E33" s="48"/>
      <c r="F33" s="48"/>
      <c r="G33" s="48"/>
      <c r="H33" s="55"/>
      <c r="I33" s="56" t="s">
        <v>55</v>
      </c>
      <c r="J33" s="57">
        <f>SUM(J23:J32)</f>
        <v>63468.269640256018</v>
      </c>
    </row>
    <row r="34" spans="1:10">
      <c r="A34" s="90" t="s">
        <v>127</v>
      </c>
      <c r="B34" s="90" t="s">
        <v>128</v>
      </c>
      <c r="C34" s="91"/>
      <c r="D34" s="92"/>
      <c r="E34" s="93"/>
      <c r="F34" s="93"/>
      <c r="G34" s="93"/>
      <c r="H34" s="93"/>
      <c r="I34" s="93"/>
      <c r="J34" s="93"/>
    </row>
    <row r="35" spans="1:10">
      <c r="A35" s="94" t="s">
        <v>129</v>
      </c>
      <c r="B35" s="94" t="s">
        <v>130</v>
      </c>
      <c r="C35" s="95"/>
      <c r="D35" s="96"/>
      <c r="E35" s="97"/>
      <c r="F35" s="97"/>
      <c r="G35" s="97"/>
      <c r="H35" s="97"/>
      <c r="I35" s="97"/>
      <c r="J35" s="97"/>
    </row>
    <row r="36" spans="1:10">
      <c r="A36" s="62" t="s">
        <v>131</v>
      </c>
      <c r="B36" s="65"/>
      <c r="C36" s="62" t="s">
        <v>132</v>
      </c>
      <c r="D36" s="64" t="s">
        <v>0</v>
      </c>
      <c r="E36" s="63">
        <v>6.91</v>
      </c>
      <c r="F36" s="63">
        <v>5.78</v>
      </c>
      <c r="G36" s="63">
        <v>12.69</v>
      </c>
      <c r="H36" s="8">
        <f>G36*1.2293</f>
        <v>15.599817</v>
      </c>
      <c r="I36" s="99">
        <f>(I40+I41+I42)*1.8*2/2</f>
        <v>955.80000000000007</v>
      </c>
      <c r="J36" s="8">
        <f>H36*I36</f>
        <v>14910.3050886</v>
      </c>
    </row>
    <row r="37" spans="1:10">
      <c r="A37" s="77"/>
      <c r="B37" s="78"/>
      <c r="C37" s="78"/>
      <c r="D37" s="78"/>
      <c r="E37" s="78"/>
      <c r="F37" s="78"/>
      <c r="G37" s="78"/>
      <c r="H37" s="78"/>
      <c r="I37" s="56" t="s">
        <v>55</v>
      </c>
      <c r="J37" s="57">
        <f>SUM(J36)</f>
        <v>14910.3050886</v>
      </c>
    </row>
    <row r="38" spans="1:10">
      <c r="A38" s="34" t="s">
        <v>18</v>
      </c>
      <c r="B38" s="20" t="s">
        <v>19</v>
      </c>
      <c r="C38" s="21"/>
      <c r="D38" s="22"/>
      <c r="E38" s="22"/>
      <c r="F38" s="22"/>
      <c r="G38" s="22"/>
      <c r="H38" s="22"/>
      <c r="I38" s="22"/>
      <c r="J38" s="35"/>
    </row>
    <row r="39" spans="1:10">
      <c r="A39" s="36" t="s">
        <v>20</v>
      </c>
      <c r="B39" s="2" t="s">
        <v>21</v>
      </c>
      <c r="C39" s="3"/>
      <c r="D39" s="4"/>
      <c r="E39" s="5"/>
      <c r="F39" s="5"/>
      <c r="G39" s="5"/>
      <c r="H39" s="5"/>
      <c r="I39" s="5"/>
      <c r="J39" s="37"/>
    </row>
    <row r="40" spans="1:10" ht="14.25" customHeight="1">
      <c r="A40" s="38" t="s">
        <v>22</v>
      </c>
      <c r="B40" s="6"/>
      <c r="C40" s="7" t="s">
        <v>23</v>
      </c>
      <c r="D40" s="6" t="s">
        <v>10</v>
      </c>
      <c r="E40" s="63">
        <v>96.9</v>
      </c>
      <c r="F40" s="63">
        <v>35.799999999999997</v>
      </c>
      <c r="G40" s="63">
        <v>132.69999999999999</v>
      </c>
      <c r="H40" s="8">
        <f t="shared" ref="H40:H44" si="0">G40*1.2293</f>
        <v>163.12810999999999</v>
      </c>
      <c r="I40" s="49">
        <v>316</v>
      </c>
      <c r="J40" s="39">
        <f t="shared" ref="J40:J44" si="1">H40*I40</f>
        <v>51548.482759999999</v>
      </c>
    </row>
    <row r="41" spans="1:10" ht="15" customHeight="1">
      <c r="A41" s="6" t="s">
        <v>72</v>
      </c>
      <c r="B41" s="6"/>
      <c r="C41" s="7" t="s">
        <v>73</v>
      </c>
      <c r="D41" s="6" t="s">
        <v>10</v>
      </c>
      <c r="E41" s="63">
        <v>188.09</v>
      </c>
      <c r="F41" s="63">
        <v>46.12</v>
      </c>
      <c r="G41" s="63">
        <v>234.21</v>
      </c>
      <c r="H41" s="8">
        <f t="shared" si="0"/>
        <v>287.91435300000001</v>
      </c>
      <c r="I41" s="49">
        <v>120</v>
      </c>
      <c r="J41" s="39">
        <f t="shared" si="1"/>
        <v>34549.72236</v>
      </c>
    </row>
    <row r="42" spans="1:10" ht="14.25" customHeight="1">
      <c r="A42" s="38" t="s">
        <v>24</v>
      </c>
      <c r="B42" s="6"/>
      <c r="C42" s="7" t="s">
        <v>25</v>
      </c>
      <c r="D42" s="6" t="s">
        <v>10</v>
      </c>
      <c r="E42" s="63">
        <v>274.57</v>
      </c>
      <c r="F42" s="63">
        <v>58.09</v>
      </c>
      <c r="G42" s="63">
        <v>332.66</v>
      </c>
      <c r="H42" s="8">
        <f t="shared" si="0"/>
        <v>408.93893800000006</v>
      </c>
      <c r="I42" s="49">
        <v>95</v>
      </c>
      <c r="J42" s="39">
        <f t="shared" si="1"/>
        <v>38849.199110000009</v>
      </c>
    </row>
    <row r="43" spans="1:10" ht="14.25" customHeight="1">
      <c r="A43" s="62" t="s">
        <v>133</v>
      </c>
      <c r="B43" s="6"/>
      <c r="C43" s="62" t="s">
        <v>134</v>
      </c>
      <c r="D43" s="6" t="s">
        <v>10</v>
      </c>
      <c r="E43" s="63">
        <v>48.07</v>
      </c>
      <c r="F43" s="63">
        <v>45.79</v>
      </c>
      <c r="G43" s="63">
        <v>93.86</v>
      </c>
      <c r="H43" s="49">
        <f t="shared" si="0"/>
        <v>115.382098</v>
      </c>
      <c r="I43" s="49">
        <v>10</v>
      </c>
      <c r="J43" s="50">
        <f t="shared" si="1"/>
        <v>1153.82098</v>
      </c>
    </row>
    <row r="44" spans="1:10" ht="14.25" customHeight="1">
      <c r="A44" s="62" t="s">
        <v>135</v>
      </c>
      <c r="B44" s="6"/>
      <c r="C44" s="62" t="s">
        <v>136</v>
      </c>
      <c r="D44" s="6" t="s">
        <v>0</v>
      </c>
      <c r="E44" s="63">
        <v>1014.86</v>
      </c>
      <c r="F44" s="63">
        <v>42.16</v>
      </c>
      <c r="G44" s="63">
        <v>1057.02</v>
      </c>
      <c r="H44" s="49">
        <f t="shared" si="0"/>
        <v>1299.3946860000001</v>
      </c>
      <c r="I44" s="49">
        <v>8</v>
      </c>
      <c r="J44" s="50">
        <f t="shared" si="1"/>
        <v>10395.157488000001</v>
      </c>
    </row>
    <row r="45" spans="1:10" ht="14.25" customHeight="1">
      <c r="A45" s="133"/>
      <c r="B45" s="134"/>
      <c r="C45" s="134"/>
      <c r="D45" s="134"/>
      <c r="E45" s="134"/>
      <c r="F45" s="134"/>
      <c r="G45" s="134"/>
      <c r="H45" s="52"/>
      <c r="I45" s="56" t="s">
        <v>55</v>
      </c>
      <c r="J45" s="57">
        <f>SUM(J40:J44)</f>
        <v>136496.38269800003</v>
      </c>
    </row>
    <row r="46" spans="1:10">
      <c r="A46" s="34" t="s">
        <v>26</v>
      </c>
      <c r="B46" s="20" t="s">
        <v>27</v>
      </c>
      <c r="C46" s="21"/>
      <c r="D46" s="22"/>
      <c r="E46" s="22"/>
      <c r="F46" s="22"/>
      <c r="G46" s="22"/>
      <c r="H46" s="22"/>
      <c r="I46" s="22"/>
      <c r="J46" s="35"/>
    </row>
    <row r="47" spans="1:10">
      <c r="A47" s="36" t="s">
        <v>28</v>
      </c>
      <c r="B47" s="2" t="s">
        <v>29</v>
      </c>
      <c r="C47" s="3"/>
      <c r="D47" s="4"/>
      <c r="E47" s="5"/>
      <c r="F47" s="5"/>
      <c r="G47" s="5"/>
      <c r="H47" s="5"/>
      <c r="I47" s="5"/>
      <c r="J47" s="37"/>
    </row>
    <row r="48" spans="1:10" ht="15.75" customHeight="1">
      <c r="A48" s="38" t="s">
        <v>30</v>
      </c>
      <c r="B48" s="6"/>
      <c r="C48" s="7" t="s">
        <v>31</v>
      </c>
      <c r="D48" s="6" t="s">
        <v>7</v>
      </c>
      <c r="E48" s="63">
        <v>1035.25</v>
      </c>
      <c r="F48" s="63">
        <v>1071.6500000000001</v>
      </c>
      <c r="G48" s="63">
        <v>2106.9</v>
      </c>
      <c r="H48" s="8">
        <f>G48*1.2293</f>
        <v>2590.0121700000004</v>
      </c>
      <c r="I48" s="49">
        <v>11</v>
      </c>
      <c r="J48" s="39">
        <f>I48*H48</f>
        <v>28490.133870000005</v>
      </c>
    </row>
    <row r="49" spans="1:10" ht="15.75" customHeight="1">
      <c r="A49" s="62" t="s">
        <v>137</v>
      </c>
      <c r="B49" s="6"/>
      <c r="C49" s="62" t="s">
        <v>138</v>
      </c>
      <c r="D49" s="6" t="s">
        <v>10</v>
      </c>
      <c r="E49" s="100">
        <v>170.79</v>
      </c>
      <c r="F49" s="100">
        <v>263.38</v>
      </c>
      <c r="G49" s="100">
        <v>434.17</v>
      </c>
      <c r="H49" s="49">
        <f t="shared" ref="H49" si="2">G49*1.2293</f>
        <v>533.72518100000002</v>
      </c>
      <c r="I49" s="49">
        <v>1</v>
      </c>
      <c r="J49" s="50">
        <f>I49*H49</f>
        <v>533.72518100000002</v>
      </c>
    </row>
    <row r="50" spans="1:10">
      <c r="A50" s="62" t="s">
        <v>80</v>
      </c>
      <c r="B50" s="6"/>
      <c r="C50" s="62" t="s">
        <v>81</v>
      </c>
      <c r="D50" s="6" t="s">
        <v>7</v>
      </c>
      <c r="E50" s="63">
        <v>1236.17</v>
      </c>
      <c r="F50" s="63">
        <v>1679.25</v>
      </c>
      <c r="G50" s="63">
        <v>2915.42</v>
      </c>
      <c r="H50" s="8">
        <f t="shared" ref="H50:H53" si="3">G50*1.2293</f>
        <v>3583.9258060000002</v>
      </c>
      <c r="I50" s="75">
        <v>1</v>
      </c>
      <c r="J50" s="39">
        <f>I50*H50</f>
        <v>3583.9258060000002</v>
      </c>
    </row>
    <row r="51" spans="1:10">
      <c r="A51" s="62" t="s">
        <v>82</v>
      </c>
      <c r="B51" s="6"/>
      <c r="C51" s="62" t="s">
        <v>83</v>
      </c>
      <c r="D51" s="64" t="s">
        <v>11</v>
      </c>
      <c r="E51" s="63">
        <v>290.36</v>
      </c>
      <c r="F51" s="63">
        <v>0</v>
      </c>
      <c r="G51" s="63">
        <v>290.36</v>
      </c>
      <c r="H51" s="8">
        <f t="shared" si="3"/>
        <v>356.93954800000006</v>
      </c>
      <c r="I51" s="75">
        <v>2</v>
      </c>
      <c r="J51" s="39">
        <f t="shared" ref="J51:J53" si="4">I51*H51</f>
        <v>713.87909600000012</v>
      </c>
    </row>
    <row r="52" spans="1:10" ht="25.5">
      <c r="A52" s="62" t="s">
        <v>84</v>
      </c>
      <c r="B52" s="6"/>
      <c r="C52" s="62" t="s">
        <v>85</v>
      </c>
      <c r="D52" s="64" t="s">
        <v>11</v>
      </c>
      <c r="E52" s="63">
        <v>0</v>
      </c>
      <c r="F52" s="63">
        <v>56.92</v>
      </c>
      <c r="G52" s="63">
        <v>56.92</v>
      </c>
      <c r="H52" s="8">
        <f t="shared" si="3"/>
        <v>69.971755999999999</v>
      </c>
      <c r="I52" s="75">
        <f>I51</f>
        <v>2</v>
      </c>
      <c r="J52" s="39">
        <f t="shared" si="4"/>
        <v>139.943512</v>
      </c>
    </row>
    <row r="53" spans="1:10">
      <c r="A53" s="62" t="s">
        <v>86</v>
      </c>
      <c r="B53" s="65"/>
      <c r="C53" s="62" t="s">
        <v>88</v>
      </c>
      <c r="D53" s="64" t="s">
        <v>87</v>
      </c>
      <c r="E53" s="63">
        <v>6.28</v>
      </c>
      <c r="F53" s="63">
        <v>0.87</v>
      </c>
      <c r="G53" s="63">
        <v>7.15</v>
      </c>
      <c r="H53" s="8">
        <f t="shared" si="3"/>
        <v>8.7894950000000005</v>
      </c>
      <c r="I53" s="75">
        <v>200</v>
      </c>
      <c r="J53" s="39">
        <f t="shared" si="4"/>
        <v>1757.8990000000001</v>
      </c>
    </row>
    <row r="54" spans="1:10" ht="14.25" customHeight="1">
      <c r="A54" s="135"/>
      <c r="B54" s="136"/>
      <c r="C54" s="136"/>
      <c r="D54" s="136"/>
      <c r="E54" s="136"/>
      <c r="F54" s="136"/>
      <c r="G54" s="136"/>
      <c r="H54" s="53"/>
      <c r="I54" s="56" t="s">
        <v>55</v>
      </c>
      <c r="J54" s="57">
        <f>SUM(J48:J53)</f>
        <v>35219.506464999999</v>
      </c>
    </row>
    <row r="55" spans="1:10" ht="12.75" customHeight="1">
      <c r="A55" s="34" t="s">
        <v>32</v>
      </c>
      <c r="B55" s="20" t="s">
        <v>33</v>
      </c>
      <c r="C55" s="21"/>
      <c r="D55" s="22"/>
      <c r="E55" s="22"/>
      <c r="F55" s="22"/>
      <c r="G55" s="22"/>
      <c r="H55" s="22"/>
      <c r="I55" s="22"/>
      <c r="J55" s="35"/>
    </row>
    <row r="56" spans="1:10">
      <c r="A56" s="36" t="s">
        <v>34</v>
      </c>
      <c r="B56" s="2" t="s">
        <v>35</v>
      </c>
      <c r="C56" s="3"/>
      <c r="D56" s="4"/>
      <c r="E56" s="5"/>
      <c r="F56" s="5"/>
      <c r="G56" s="5"/>
      <c r="H56" s="5"/>
      <c r="I56" s="5"/>
      <c r="J56" s="37"/>
    </row>
    <row r="57" spans="1:10" ht="28.5" customHeight="1">
      <c r="A57" s="38" t="s">
        <v>36</v>
      </c>
      <c r="B57" s="6"/>
      <c r="C57" s="7" t="s">
        <v>37</v>
      </c>
      <c r="D57" s="6" t="s">
        <v>0</v>
      </c>
      <c r="E57" s="63">
        <v>1.85</v>
      </c>
      <c r="F57" s="63">
        <v>0.11</v>
      </c>
      <c r="G57" s="63">
        <v>1.96</v>
      </c>
      <c r="H57" s="8">
        <f t="shared" ref="H57:H58" si="5">G57*1.2293</f>
        <v>2.4094280000000001</v>
      </c>
      <c r="I57" s="76">
        <v>4176.8500000000004</v>
      </c>
      <c r="J57" s="39">
        <f>H57*I57</f>
        <v>10063.819341800001</v>
      </c>
    </row>
    <row r="58" spans="1:10" ht="14.25" customHeight="1">
      <c r="A58" s="62" t="s">
        <v>89</v>
      </c>
      <c r="B58" s="65"/>
      <c r="C58" s="62" t="s">
        <v>90</v>
      </c>
      <c r="D58" s="64" t="s">
        <v>11</v>
      </c>
      <c r="E58" s="63">
        <v>6.62</v>
      </c>
      <c r="F58" s="63">
        <v>0.09</v>
      </c>
      <c r="G58" s="63">
        <v>6.71</v>
      </c>
      <c r="H58" s="8">
        <f t="shared" si="5"/>
        <v>8.248603000000001</v>
      </c>
      <c r="I58" s="76">
        <f>0.4*I57</f>
        <v>1670.7400000000002</v>
      </c>
      <c r="J58" s="39">
        <f t="shared" ref="J58" si="6">H58*I58</f>
        <v>13781.270976220003</v>
      </c>
    </row>
    <row r="59" spans="1:10">
      <c r="A59" s="36" t="s">
        <v>38</v>
      </c>
      <c r="B59" s="2" t="s">
        <v>39</v>
      </c>
      <c r="C59" s="3"/>
      <c r="D59" s="4"/>
      <c r="E59" s="5"/>
      <c r="F59" s="5"/>
      <c r="G59" s="5"/>
      <c r="H59" s="5"/>
      <c r="I59" s="5"/>
      <c r="J59" s="37"/>
    </row>
    <row r="60" spans="1:10" ht="24" customHeight="1">
      <c r="A60" s="38" t="s">
        <v>40</v>
      </c>
      <c r="B60" s="6"/>
      <c r="C60" s="7" t="s">
        <v>41</v>
      </c>
      <c r="D60" s="6" t="s">
        <v>11</v>
      </c>
      <c r="E60" s="63">
        <v>831.7</v>
      </c>
      <c r="F60" s="63">
        <v>11.25</v>
      </c>
      <c r="G60" s="63">
        <v>842.95</v>
      </c>
      <c r="H60" s="8">
        <f t="shared" ref="H60:H62" si="7">G60*1.2293</f>
        <v>1036.2384350000002</v>
      </c>
      <c r="I60" s="18">
        <f>I57*0.03</f>
        <v>125.30550000000001</v>
      </c>
      <c r="J60" s="50">
        <f>H60*I60</f>
        <v>129846.37521689254</v>
      </c>
    </row>
    <row r="61" spans="1:10">
      <c r="A61" s="101" t="s">
        <v>141</v>
      </c>
      <c r="B61" s="6"/>
      <c r="C61" s="7" t="s">
        <v>42</v>
      </c>
      <c r="D61" s="6" t="s">
        <v>0</v>
      </c>
      <c r="E61" s="63">
        <v>5.23</v>
      </c>
      <c r="F61" s="63">
        <v>0.06</v>
      </c>
      <c r="G61" s="63">
        <f>E61+F61</f>
        <v>5.29</v>
      </c>
      <c r="H61" s="8">
        <f t="shared" si="7"/>
        <v>6.5029970000000006</v>
      </c>
      <c r="I61" s="18">
        <f>I57</f>
        <v>4176.8500000000004</v>
      </c>
      <c r="J61" s="50">
        <f>H61*I61</f>
        <v>27162.043019450004</v>
      </c>
    </row>
    <row r="62" spans="1:10">
      <c r="A62" s="102" t="s">
        <v>142</v>
      </c>
      <c r="B62" s="65"/>
      <c r="C62" s="62" t="s">
        <v>139</v>
      </c>
      <c r="D62" s="64" t="s">
        <v>0</v>
      </c>
      <c r="E62" s="63">
        <v>12.23</v>
      </c>
      <c r="F62" s="63">
        <v>0.08</v>
      </c>
      <c r="G62" s="63">
        <f>E62+F62</f>
        <v>12.31</v>
      </c>
      <c r="H62" s="8">
        <f t="shared" si="7"/>
        <v>15.132683000000002</v>
      </c>
      <c r="I62" s="18">
        <f>I61</f>
        <v>4176.8500000000004</v>
      </c>
      <c r="J62" s="50">
        <f>H62*I62</f>
        <v>63206.946988550015</v>
      </c>
    </row>
    <row r="63" spans="1:10">
      <c r="A63" s="36" t="s">
        <v>43</v>
      </c>
      <c r="B63" s="2" t="s">
        <v>44</v>
      </c>
      <c r="C63" s="3"/>
      <c r="D63" s="4"/>
      <c r="E63" s="5"/>
      <c r="F63" s="5"/>
      <c r="G63" s="5"/>
      <c r="H63" s="5"/>
      <c r="I63" s="5"/>
      <c r="J63" s="37"/>
    </row>
    <row r="64" spans="1:10" ht="12.95" customHeight="1">
      <c r="A64" s="62" t="s">
        <v>143</v>
      </c>
      <c r="B64" s="65"/>
      <c r="C64" s="62" t="s">
        <v>144</v>
      </c>
      <c r="D64" s="64" t="s">
        <v>11</v>
      </c>
      <c r="E64" s="63">
        <v>878.82</v>
      </c>
      <c r="F64" s="63"/>
      <c r="G64" s="63">
        <f>E64+F64</f>
        <v>878.82</v>
      </c>
      <c r="H64" s="8">
        <f t="shared" ref="H64" si="8">G64*1.2293</f>
        <v>1080.3334260000001</v>
      </c>
      <c r="I64" s="18">
        <f>0.1*0.55*931.4</f>
        <v>51.227000000000004</v>
      </c>
      <c r="J64" s="39">
        <f>H64*I64</f>
        <v>55342.240413702013</v>
      </c>
    </row>
    <row r="65" spans="1:10">
      <c r="A65" s="137"/>
      <c r="B65" s="138"/>
      <c r="C65" s="138"/>
      <c r="D65" s="138"/>
      <c r="E65" s="138"/>
      <c r="F65" s="138"/>
      <c r="G65" s="139"/>
      <c r="H65" s="54"/>
      <c r="I65" s="56" t="s">
        <v>55</v>
      </c>
      <c r="J65" s="57">
        <f>SUM(J57:J64)</f>
        <v>299402.69595661457</v>
      </c>
    </row>
    <row r="66" spans="1:10" ht="13.5" customHeight="1">
      <c r="A66" s="34" t="s">
        <v>49</v>
      </c>
      <c r="B66" s="20" t="s">
        <v>50</v>
      </c>
      <c r="C66" s="21"/>
      <c r="D66" s="22"/>
      <c r="E66" s="22"/>
      <c r="F66" s="22"/>
      <c r="G66" s="23"/>
      <c r="H66" s="23"/>
      <c r="I66" s="22"/>
      <c r="J66" s="35"/>
    </row>
    <row r="67" spans="1:10">
      <c r="A67" s="36" t="s">
        <v>45</v>
      </c>
      <c r="B67" s="2" t="s">
        <v>46</v>
      </c>
      <c r="C67" s="3"/>
      <c r="D67" s="4"/>
      <c r="E67" s="5"/>
      <c r="F67" s="5"/>
      <c r="G67" s="19"/>
      <c r="H67" s="19"/>
      <c r="I67" s="5"/>
      <c r="J67" s="37"/>
    </row>
    <row r="68" spans="1:10" ht="14.25" customHeight="1">
      <c r="A68" s="38" t="s">
        <v>47</v>
      </c>
      <c r="B68" s="6"/>
      <c r="C68" s="7" t="s">
        <v>48</v>
      </c>
      <c r="D68" s="6" t="s">
        <v>0</v>
      </c>
      <c r="E68" s="63">
        <v>22.29</v>
      </c>
      <c r="F68" s="63">
        <v>0</v>
      </c>
      <c r="G68" s="63">
        <v>22.29</v>
      </c>
      <c r="H68" s="8">
        <v>15</v>
      </c>
      <c r="I68" s="18">
        <f xml:space="preserve"> 16*13</f>
        <v>208</v>
      </c>
      <c r="J68" s="39">
        <f>H68*I68</f>
        <v>3120</v>
      </c>
    </row>
    <row r="69" spans="1:10" ht="15.75" thickBot="1">
      <c r="A69" s="130"/>
      <c r="B69" s="131"/>
      <c r="C69" s="131"/>
      <c r="D69" s="131"/>
      <c r="E69" s="131"/>
      <c r="F69" s="131"/>
      <c r="G69" s="132"/>
      <c r="H69" s="51"/>
      <c r="I69" s="59" t="s">
        <v>55</v>
      </c>
      <c r="J69" s="60">
        <f>SUM(J68)</f>
        <v>3120</v>
      </c>
    </row>
    <row r="70" spans="1:10" ht="18" customHeight="1" thickBot="1">
      <c r="G70" s="124" t="s">
        <v>56</v>
      </c>
      <c r="H70" s="125"/>
      <c r="I70" s="126"/>
      <c r="J70" s="40">
        <f>J68+J65+J54+J45+J37+J33+J20+J16+J12</f>
        <v>567815.68233710667</v>
      </c>
    </row>
    <row r="71" spans="1:10" ht="36" customHeight="1">
      <c r="C71" s="26"/>
    </row>
    <row r="72" spans="1:10" ht="63.75" customHeight="1"/>
    <row r="73" spans="1:10">
      <c r="C73" s="46"/>
      <c r="G73" s="103"/>
      <c r="H73" s="103"/>
      <c r="I73" s="103"/>
    </row>
    <row r="74" spans="1:10">
      <c r="C74" s="46"/>
      <c r="G74" s="103"/>
      <c r="H74" s="103"/>
      <c r="I74" s="103"/>
    </row>
  </sheetData>
  <mergeCells count="17">
    <mergeCell ref="A16:G16"/>
    <mergeCell ref="G73:I73"/>
    <mergeCell ref="G74:I74"/>
    <mergeCell ref="A1:J1"/>
    <mergeCell ref="A2:J2"/>
    <mergeCell ref="A3:J3"/>
    <mergeCell ref="A4:J4"/>
    <mergeCell ref="A5:J5"/>
    <mergeCell ref="A6:B6"/>
    <mergeCell ref="D6:F6"/>
    <mergeCell ref="I6:J6"/>
    <mergeCell ref="G70:I70"/>
    <mergeCell ref="A7:J7"/>
    <mergeCell ref="A69:G69"/>
    <mergeCell ref="A45:G45"/>
    <mergeCell ref="A54:G54"/>
    <mergeCell ref="A65:G65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>
      <selection activeCell="A6" sqref="A6:C6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42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>
      <c r="A2" s="144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>
      <c r="A3" s="146" t="s">
        <v>53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>
      <c r="A4" s="161" t="s">
        <v>66</v>
      </c>
      <c r="B4" s="162"/>
      <c r="C4" s="162"/>
      <c r="D4" s="10"/>
      <c r="E4" s="10"/>
      <c r="F4" s="10"/>
      <c r="G4" s="10"/>
      <c r="H4" s="159" t="s">
        <v>59</v>
      </c>
      <c r="I4" s="160"/>
      <c r="J4" s="160"/>
      <c r="K4" s="160"/>
      <c r="L4" s="160"/>
      <c r="M4" s="160"/>
      <c r="N4" s="160"/>
      <c r="O4" s="160"/>
    </row>
    <row r="5" spans="1:15">
      <c r="A5" s="161"/>
      <c r="B5" s="162"/>
      <c r="C5" s="162"/>
      <c r="D5" s="14" t="s">
        <v>60</v>
      </c>
      <c r="E5" s="15" t="s">
        <v>61</v>
      </c>
      <c r="F5" s="15" t="s">
        <v>62</v>
      </c>
      <c r="G5" s="15" t="s">
        <v>67</v>
      </c>
      <c r="H5" s="16">
        <v>1</v>
      </c>
      <c r="I5" s="16">
        <f>H5+1</f>
        <v>2</v>
      </c>
      <c r="J5" s="16">
        <f t="shared" ref="J5:O5" si="0">I5+1</f>
        <v>3</v>
      </c>
      <c r="K5" s="16">
        <f t="shared" si="0"/>
        <v>4</v>
      </c>
      <c r="L5" s="16">
        <f t="shared" si="0"/>
        <v>5</v>
      </c>
      <c r="M5" s="16">
        <f t="shared" si="0"/>
        <v>6</v>
      </c>
      <c r="N5" s="16">
        <f t="shared" si="0"/>
        <v>7</v>
      </c>
      <c r="O5" s="16">
        <f t="shared" si="0"/>
        <v>8</v>
      </c>
    </row>
    <row r="6" spans="1:15" ht="39.75" customHeight="1">
      <c r="A6" s="148" t="s">
        <v>147</v>
      </c>
      <c r="B6" s="149"/>
      <c r="C6" s="149"/>
      <c r="D6" s="31">
        <v>8</v>
      </c>
      <c r="E6" s="31">
        <v>1</v>
      </c>
      <c r="F6" s="32">
        <v>8</v>
      </c>
      <c r="G6" s="33"/>
      <c r="H6" s="17">
        <f t="shared" ref="H6:O7" si="1">IF(AND($E6&lt;=H$5,$F6&gt;=H$5)=TRUE,1,0)</f>
        <v>1</v>
      </c>
      <c r="I6" s="17">
        <f t="shared" si="1"/>
        <v>1</v>
      </c>
      <c r="J6" s="17">
        <f t="shared" si="1"/>
        <v>1</v>
      </c>
      <c r="K6" s="17">
        <f t="shared" si="1"/>
        <v>1</v>
      </c>
      <c r="L6" s="17">
        <f t="shared" si="1"/>
        <v>1</v>
      </c>
      <c r="M6" s="17">
        <f t="shared" si="1"/>
        <v>1</v>
      </c>
      <c r="N6" s="17">
        <f t="shared" si="1"/>
        <v>1</v>
      </c>
      <c r="O6" s="17">
        <f t="shared" si="1"/>
        <v>1</v>
      </c>
    </row>
    <row r="7" spans="1:15">
      <c r="A7" s="150" t="s">
        <v>63</v>
      </c>
      <c r="B7" s="150"/>
      <c r="C7" s="151"/>
      <c r="D7" s="154">
        <v>8</v>
      </c>
      <c r="E7" s="156">
        <f>MIN(E11:E24)</f>
        <v>1</v>
      </c>
      <c r="F7" s="156">
        <v>8</v>
      </c>
      <c r="G7" s="157"/>
      <c r="H7" s="11">
        <f t="shared" si="1"/>
        <v>1</v>
      </c>
      <c r="I7" s="11">
        <f t="shared" si="1"/>
        <v>1</v>
      </c>
      <c r="J7" s="11">
        <f t="shared" si="1"/>
        <v>1</v>
      </c>
      <c r="K7" s="11">
        <f t="shared" si="1"/>
        <v>1</v>
      </c>
      <c r="L7" s="11">
        <f t="shared" si="1"/>
        <v>1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>
      <c r="A8" s="152"/>
      <c r="B8" s="152"/>
      <c r="C8" s="153"/>
      <c r="D8" s="155"/>
      <c r="E8" s="155"/>
      <c r="F8" s="155"/>
      <c r="G8" s="158"/>
      <c r="H8" s="11"/>
      <c r="I8" s="11"/>
      <c r="J8" s="11"/>
      <c r="K8" s="11"/>
      <c r="L8" s="11"/>
      <c r="M8" s="11"/>
      <c r="N8" s="11"/>
      <c r="O8" s="11"/>
    </row>
    <row r="9" spans="1:15">
      <c r="A9" s="163">
        <v>1</v>
      </c>
      <c r="B9" s="170" t="str">
        <f>PPU!B9</f>
        <v>SERVIÇO TÉCNICO ESPECIALIZADO</v>
      </c>
      <c r="C9" s="165">
        <f>PPU!J12</f>
        <v>4447.48029038</v>
      </c>
      <c r="D9" s="167">
        <f>F9-E9+1</f>
        <v>1</v>
      </c>
      <c r="E9" s="169">
        <v>1</v>
      </c>
      <c r="F9" s="169">
        <v>1</v>
      </c>
      <c r="G9" s="12" t="s">
        <v>59</v>
      </c>
      <c r="H9" s="13">
        <f t="shared" ref="H9:O11" si="2">IF(IF(AND($E9&lt;=H$5,$F9&gt;=H$5)=TRUE,1,0)=1,$C9/$D9,0)</f>
        <v>4447.48029038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</row>
    <row r="10" spans="1:15">
      <c r="A10" s="164"/>
      <c r="B10" s="171"/>
      <c r="C10" s="166"/>
      <c r="D10" s="168"/>
      <c r="E10" s="168"/>
      <c r="F10" s="168"/>
      <c r="G10" s="12" t="s">
        <v>64</v>
      </c>
      <c r="H10" s="13">
        <f>IF(H9&gt;0,H9,0)</f>
        <v>4447.48029038</v>
      </c>
      <c r="I10" s="13">
        <f>IF(I9&gt;0,I9+H10,0)</f>
        <v>0</v>
      </c>
      <c r="J10" s="13">
        <f t="shared" ref="J10:O12" si="3">IF(J9&gt;0,J9+I10,0)</f>
        <v>0</v>
      </c>
      <c r="K10" s="13">
        <f t="shared" ref="K10" si="4">IF(K9&gt;0,K9+J10,0)</f>
        <v>0</v>
      </c>
      <c r="L10" s="13">
        <f t="shared" ref="L10" si="5">IF(L9&gt;0,L9+K10,0)</f>
        <v>0</v>
      </c>
      <c r="M10" s="13">
        <f t="shared" ref="M10" si="6">IF(M9&gt;0,M9+L10,0)</f>
        <v>0</v>
      </c>
      <c r="N10" s="13">
        <f t="shared" ref="N10" si="7">IF(N9&gt;0,N9+M10,0)</f>
        <v>0</v>
      </c>
      <c r="O10" s="13">
        <f t="shared" si="3"/>
        <v>0</v>
      </c>
    </row>
    <row r="11" spans="1:15">
      <c r="A11" s="163">
        <v>2</v>
      </c>
      <c r="B11" s="170" t="s">
        <v>101</v>
      </c>
      <c r="C11" s="165">
        <f>PPU!J16</f>
        <v>2896.6241760000003</v>
      </c>
      <c r="D11" s="167">
        <f t="shared" ref="D11" si="8">F11-E11+1</f>
        <v>1</v>
      </c>
      <c r="E11" s="169">
        <v>1</v>
      </c>
      <c r="F11" s="169">
        <v>1</v>
      </c>
      <c r="G11" s="12" t="s">
        <v>59</v>
      </c>
      <c r="H11" s="13">
        <f t="shared" si="2"/>
        <v>2896.6241760000003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</row>
    <row r="12" spans="1:15">
      <c r="A12" s="164"/>
      <c r="B12" s="171"/>
      <c r="C12" s="166"/>
      <c r="D12" s="168"/>
      <c r="E12" s="168"/>
      <c r="F12" s="168"/>
      <c r="G12" s="12" t="s">
        <v>64</v>
      </c>
      <c r="H12" s="13">
        <f>IF(H11&gt;0,H11,0)</f>
        <v>2896.6241760000003</v>
      </c>
      <c r="I12" s="13">
        <f>IF(I11&gt;0,I11+H12,0)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</row>
    <row r="13" spans="1:15">
      <c r="A13" s="163">
        <v>3</v>
      </c>
      <c r="B13" s="170" t="s">
        <v>102</v>
      </c>
      <c r="C13" s="165">
        <f>PPU!J26+PPU!J30+PPU!J37+PPU!J45+PPU!J54</f>
        <v>198100.90185564006</v>
      </c>
      <c r="D13" s="167">
        <f t="shared" ref="D13" si="9">F13-E13+1</f>
        <v>4</v>
      </c>
      <c r="E13" s="169">
        <v>1</v>
      </c>
      <c r="F13" s="169">
        <v>4</v>
      </c>
      <c r="G13" s="12" t="s">
        <v>59</v>
      </c>
      <c r="H13" s="13">
        <f t="shared" ref="H13:O13" si="10">IF(IF(AND($E13&lt;=H$5,$F13&gt;=H$5)=TRUE,1,0)=1,$C13/$D13,0)</f>
        <v>49525.225463910014</v>
      </c>
      <c r="I13" s="13">
        <f t="shared" si="10"/>
        <v>49525.225463910014</v>
      </c>
      <c r="J13" s="13">
        <f t="shared" si="10"/>
        <v>49525.225463910014</v>
      </c>
      <c r="K13" s="13">
        <f t="shared" si="10"/>
        <v>49525.225463910014</v>
      </c>
      <c r="L13" s="13">
        <f t="shared" si="10"/>
        <v>0</v>
      </c>
      <c r="M13" s="13">
        <f t="shared" si="10"/>
        <v>0</v>
      </c>
      <c r="N13" s="13">
        <f t="shared" si="10"/>
        <v>0</v>
      </c>
      <c r="O13" s="13">
        <f t="shared" si="10"/>
        <v>0</v>
      </c>
    </row>
    <row r="14" spans="1:15">
      <c r="A14" s="164"/>
      <c r="B14" s="171"/>
      <c r="C14" s="166"/>
      <c r="D14" s="168"/>
      <c r="E14" s="168"/>
      <c r="F14" s="168"/>
      <c r="G14" s="12" t="s">
        <v>64</v>
      </c>
      <c r="H14" s="13">
        <f>IF(H13&gt;0,H13,0)</f>
        <v>49525.225463910014</v>
      </c>
      <c r="I14" s="13">
        <f>IF(I13&gt;0,I13+H14,0)</f>
        <v>99050.450927820028</v>
      </c>
      <c r="J14" s="13">
        <f t="shared" ref="J14:O14" si="11">IF(J13&gt;0,J13+I14,0)</f>
        <v>148575.67639173003</v>
      </c>
      <c r="K14" s="13">
        <f t="shared" si="11"/>
        <v>198100.90185564006</v>
      </c>
      <c r="L14" s="13">
        <f t="shared" si="11"/>
        <v>0</v>
      </c>
      <c r="M14" s="13">
        <f t="shared" si="11"/>
        <v>0</v>
      </c>
      <c r="N14" s="13">
        <f t="shared" si="11"/>
        <v>0</v>
      </c>
      <c r="O14" s="13">
        <f t="shared" si="11"/>
        <v>0</v>
      </c>
    </row>
    <row r="15" spans="1:15">
      <c r="A15" s="163">
        <v>3</v>
      </c>
      <c r="B15" s="170" t="s">
        <v>103</v>
      </c>
      <c r="C15" s="165">
        <f>PPU!J20+PPU!J23+PPU!J24+PPU!J28+PPU!J32+PPU!J57+PPU!J58</f>
        <v>83693.070376492018</v>
      </c>
      <c r="D15" s="167">
        <f>F15-E15+1</f>
        <v>4</v>
      </c>
      <c r="E15" s="169">
        <v>2</v>
      </c>
      <c r="F15" s="169">
        <v>5</v>
      </c>
      <c r="G15" s="12" t="s">
        <v>59</v>
      </c>
      <c r="H15" s="13">
        <f t="shared" ref="H15:O15" si="12">IF(IF(AND($E15&lt;=H$5,$F15&gt;=H$5)=TRUE,1,0)=1,$C15/$D15,0)</f>
        <v>0</v>
      </c>
      <c r="I15" s="13">
        <f t="shared" si="12"/>
        <v>20923.267594123005</v>
      </c>
      <c r="J15" s="13">
        <f t="shared" si="12"/>
        <v>20923.267594123005</v>
      </c>
      <c r="K15" s="13">
        <f t="shared" si="12"/>
        <v>20923.267594123005</v>
      </c>
      <c r="L15" s="13">
        <f t="shared" si="12"/>
        <v>20923.267594123005</v>
      </c>
      <c r="M15" s="13">
        <f t="shared" si="12"/>
        <v>0</v>
      </c>
      <c r="N15" s="13">
        <f t="shared" si="12"/>
        <v>0</v>
      </c>
      <c r="O15" s="13">
        <f t="shared" si="12"/>
        <v>0</v>
      </c>
    </row>
    <row r="16" spans="1:15">
      <c r="A16" s="164"/>
      <c r="B16" s="171"/>
      <c r="C16" s="166"/>
      <c r="D16" s="168"/>
      <c r="E16" s="168"/>
      <c r="F16" s="168"/>
      <c r="G16" s="12" t="s">
        <v>64</v>
      </c>
      <c r="H16" s="13">
        <f>IF(H15&gt;0,H15,0)</f>
        <v>0</v>
      </c>
      <c r="I16" s="13">
        <f>IF(I15&gt;0,I15+H16,0)</f>
        <v>20923.267594123005</v>
      </c>
      <c r="J16" s="13">
        <f t="shared" ref="J16:O16" si="13">IF(J15&gt;0,J15+I16,0)</f>
        <v>41846.535188246009</v>
      </c>
      <c r="K16" s="13">
        <f t="shared" si="13"/>
        <v>62769.802782369014</v>
      </c>
      <c r="L16" s="13">
        <f t="shared" si="13"/>
        <v>83693.070376492018</v>
      </c>
      <c r="M16" s="13">
        <f t="shared" si="13"/>
        <v>0</v>
      </c>
      <c r="N16" s="13">
        <f t="shared" si="13"/>
        <v>0</v>
      </c>
      <c r="O16" s="13">
        <f t="shared" si="13"/>
        <v>0</v>
      </c>
    </row>
    <row r="17" spans="1:15">
      <c r="A17" s="168">
        <v>4</v>
      </c>
      <c r="B17" s="170" t="s">
        <v>104</v>
      </c>
      <c r="C17" s="165">
        <f>PPU!J64</f>
        <v>55342.240413702013</v>
      </c>
      <c r="D17" s="167">
        <f>F17-E17+1</f>
        <v>4</v>
      </c>
      <c r="E17" s="172">
        <v>2</v>
      </c>
      <c r="F17" s="169">
        <v>5</v>
      </c>
      <c r="G17" s="12" t="s">
        <v>59</v>
      </c>
      <c r="H17" s="13">
        <f t="shared" ref="H17:O17" si="14">IF(IF(AND($E17&lt;=H$5,$F17&gt;=H$5)=TRUE,1,0)=1,$C17/$D17,0)</f>
        <v>0</v>
      </c>
      <c r="I17" s="13">
        <f t="shared" si="14"/>
        <v>13835.560103425503</v>
      </c>
      <c r="J17" s="13">
        <f t="shared" si="14"/>
        <v>13835.560103425503</v>
      </c>
      <c r="K17" s="13">
        <f t="shared" si="14"/>
        <v>13835.560103425503</v>
      </c>
      <c r="L17" s="13">
        <f t="shared" si="14"/>
        <v>13835.560103425503</v>
      </c>
      <c r="M17" s="13">
        <f t="shared" si="14"/>
        <v>0</v>
      </c>
      <c r="N17" s="13">
        <f t="shared" si="14"/>
        <v>0</v>
      </c>
      <c r="O17" s="13">
        <f t="shared" si="14"/>
        <v>0</v>
      </c>
    </row>
    <row r="18" spans="1:15">
      <c r="A18" s="168"/>
      <c r="B18" s="171"/>
      <c r="C18" s="166"/>
      <c r="D18" s="168"/>
      <c r="E18" s="173"/>
      <c r="F18" s="168"/>
      <c r="G18" s="12" t="s">
        <v>64</v>
      </c>
      <c r="H18" s="13">
        <f>IF(H17&gt;0,H17,0)</f>
        <v>0</v>
      </c>
      <c r="I18" s="13">
        <f>IF(I17&gt;0,I17+H18,0)</f>
        <v>13835.560103425503</v>
      </c>
      <c r="J18" s="13">
        <f t="shared" ref="J18:O18" si="15">IF(J17&gt;0,J17+I18,0)</f>
        <v>27671.120206851007</v>
      </c>
      <c r="K18" s="13">
        <f t="shared" si="15"/>
        <v>41506.680310276512</v>
      </c>
      <c r="L18" s="13">
        <f t="shared" si="15"/>
        <v>55342.240413702013</v>
      </c>
      <c r="M18" s="13">
        <f t="shared" si="15"/>
        <v>0</v>
      </c>
      <c r="N18" s="13">
        <f t="shared" si="15"/>
        <v>0</v>
      </c>
      <c r="O18" s="13">
        <f t="shared" si="15"/>
        <v>0</v>
      </c>
    </row>
    <row r="19" spans="1:15">
      <c r="A19" s="168">
        <v>5</v>
      </c>
      <c r="B19" s="170" t="s">
        <v>140</v>
      </c>
      <c r="C19" s="165">
        <f>PPU!J61+PPU!J62</f>
        <v>90368.990008000022</v>
      </c>
      <c r="D19" s="167">
        <f>F19-E19+1</f>
        <v>6</v>
      </c>
      <c r="E19" s="172">
        <v>3</v>
      </c>
      <c r="F19" s="169">
        <v>8</v>
      </c>
      <c r="G19" s="12" t="s">
        <v>59</v>
      </c>
      <c r="H19" s="13">
        <f t="shared" ref="H19:O19" si="16">IF(IF(AND($E19&lt;=H$5,$F19&gt;=H$5)=TRUE,1,0)=1,$C19/$D19,0)</f>
        <v>0</v>
      </c>
      <c r="I19" s="13">
        <f t="shared" si="16"/>
        <v>0</v>
      </c>
      <c r="J19" s="13">
        <f t="shared" si="16"/>
        <v>15061.49833466667</v>
      </c>
      <c r="K19" s="13">
        <f t="shared" si="16"/>
        <v>15061.49833466667</v>
      </c>
      <c r="L19" s="13">
        <f t="shared" si="16"/>
        <v>15061.49833466667</v>
      </c>
      <c r="M19" s="13">
        <f t="shared" si="16"/>
        <v>15061.49833466667</v>
      </c>
      <c r="N19" s="13">
        <f t="shared" si="16"/>
        <v>15061.49833466667</v>
      </c>
      <c r="O19" s="13">
        <f t="shared" si="16"/>
        <v>15061.49833466667</v>
      </c>
    </row>
    <row r="20" spans="1:15">
      <c r="A20" s="168"/>
      <c r="B20" s="171"/>
      <c r="C20" s="166"/>
      <c r="D20" s="168"/>
      <c r="E20" s="173"/>
      <c r="F20" s="168"/>
      <c r="G20" s="12" t="s">
        <v>64</v>
      </c>
      <c r="H20" s="13">
        <f>IF(H19&gt;0,H19,0)</f>
        <v>0</v>
      </c>
      <c r="I20" s="13">
        <f>IF(I19&gt;0,I19+H20,0)</f>
        <v>0</v>
      </c>
      <c r="J20" s="13">
        <f t="shared" ref="J20:O20" si="17">IF(J19&gt;0,J19+I20,0)</f>
        <v>15061.49833466667</v>
      </c>
      <c r="K20" s="13">
        <f t="shared" si="17"/>
        <v>30122.996669333341</v>
      </c>
      <c r="L20" s="13">
        <f t="shared" si="17"/>
        <v>45184.495004000011</v>
      </c>
      <c r="M20" s="13">
        <f t="shared" si="17"/>
        <v>60245.993338666682</v>
      </c>
      <c r="N20" s="13">
        <f t="shared" si="17"/>
        <v>75307.491673333352</v>
      </c>
      <c r="O20" s="13">
        <f t="shared" si="17"/>
        <v>90368.990008000022</v>
      </c>
    </row>
    <row r="21" spans="1:15">
      <c r="A21" s="168">
        <v>6</v>
      </c>
      <c r="B21" s="170" t="s">
        <v>105</v>
      </c>
      <c r="C21" s="165">
        <f>PPU!J60</f>
        <v>129846.37521689254</v>
      </c>
      <c r="D21" s="167">
        <f>F21-E21+1</f>
        <v>6</v>
      </c>
      <c r="E21" s="172">
        <v>3</v>
      </c>
      <c r="F21" s="169">
        <v>8</v>
      </c>
      <c r="G21" s="12" t="s">
        <v>59</v>
      </c>
      <c r="H21" s="13">
        <f t="shared" ref="H21:O21" si="18">IF(IF(AND($E21&lt;=H$5,$F21&gt;=H$5)=TRUE,1,0)=1,$C21/$D21,0)</f>
        <v>0</v>
      </c>
      <c r="I21" s="13">
        <f t="shared" si="18"/>
        <v>0</v>
      </c>
      <c r="J21" s="13">
        <f t="shared" si="18"/>
        <v>21641.062536148758</v>
      </c>
      <c r="K21" s="13">
        <f t="shared" si="18"/>
        <v>21641.062536148758</v>
      </c>
      <c r="L21" s="13">
        <f t="shared" si="18"/>
        <v>21641.062536148758</v>
      </c>
      <c r="M21" s="13">
        <f t="shared" si="18"/>
        <v>21641.062536148758</v>
      </c>
      <c r="N21" s="13">
        <f t="shared" si="18"/>
        <v>21641.062536148758</v>
      </c>
      <c r="O21" s="13">
        <f t="shared" si="18"/>
        <v>21641.062536148758</v>
      </c>
    </row>
    <row r="22" spans="1:15">
      <c r="A22" s="168"/>
      <c r="B22" s="171"/>
      <c r="C22" s="166"/>
      <c r="D22" s="168"/>
      <c r="E22" s="173"/>
      <c r="F22" s="168"/>
      <c r="G22" s="12" t="s">
        <v>64</v>
      </c>
      <c r="H22" s="13">
        <f>IF(H21&gt;0,H21,0)</f>
        <v>0</v>
      </c>
      <c r="I22" s="13">
        <f>IF(I21&gt;0,I21+H22,0)</f>
        <v>0</v>
      </c>
      <c r="J22" s="13">
        <f t="shared" ref="J22:O22" si="19">IF(J21&gt;0,J21+I22,0)</f>
        <v>21641.062536148758</v>
      </c>
      <c r="K22" s="13">
        <f t="shared" si="19"/>
        <v>43282.125072297516</v>
      </c>
      <c r="L22" s="13">
        <f t="shared" si="19"/>
        <v>64923.187608446271</v>
      </c>
      <c r="M22" s="13">
        <f t="shared" si="19"/>
        <v>86564.250144595033</v>
      </c>
      <c r="N22" s="13">
        <f t="shared" si="19"/>
        <v>108205.31268074379</v>
      </c>
      <c r="O22" s="13">
        <f t="shared" si="19"/>
        <v>129846.37521689256</v>
      </c>
    </row>
    <row r="23" spans="1:15">
      <c r="A23" s="168">
        <v>7</v>
      </c>
      <c r="B23" s="170" t="s">
        <v>106</v>
      </c>
      <c r="C23" s="165">
        <f>PPU!J69</f>
        <v>3120</v>
      </c>
      <c r="D23" s="167">
        <f>F23-E23+1</f>
        <v>3</v>
      </c>
      <c r="E23" s="172">
        <v>6</v>
      </c>
      <c r="F23" s="169">
        <v>8</v>
      </c>
      <c r="G23" s="12" t="s">
        <v>59</v>
      </c>
      <c r="H23" s="13">
        <f t="shared" ref="H23:O23" si="20">IF(IF(AND($E23&lt;=H$5,$F23&gt;=H$5)=TRUE,1,0)=1,$C23/$D23,0)</f>
        <v>0</v>
      </c>
      <c r="I23" s="13">
        <f t="shared" si="20"/>
        <v>0</v>
      </c>
      <c r="J23" s="13">
        <f t="shared" si="20"/>
        <v>0</v>
      </c>
      <c r="K23" s="13">
        <f t="shared" si="20"/>
        <v>0</v>
      </c>
      <c r="L23" s="13">
        <f t="shared" si="20"/>
        <v>0</v>
      </c>
      <c r="M23" s="13">
        <f t="shared" si="20"/>
        <v>1040</v>
      </c>
      <c r="N23" s="13">
        <f t="shared" si="20"/>
        <v>1040</v>
      </c>
      <c r="O23" s="13">
        <f t="shared" si="20"/>
        <v>1040</v>
      </c>
    </row>
    <row r="24" spans="1:15">
      <c r="A24" s="168"/>
      <c r="B24" s="171"/>
      <c r="C24" s="166"/>
      <c r="D24" s="168"/>
      <c r="E24" s="173"/>
      <c r="F24" s="168"/>
      <c r="G24" s="12" t="s">
        <v>64</v>
      </c>
      <c r="H24" s="13">
        <f>IF(H23&gt;0,H23,0)</f>
        <v>0</v>
      </c>
      <c r="I24" s="13">
        <f>IF(I23&gt;0,I23+H24,0)</f>
        <v>0</v>
      </c>
      <c r="J24" s="13">
        <f t="shared" ref="J24:O24" si="21">IF(J23&gt;0,J23+I24,0)</f>
        <v>0</v>
      </c>
      <c r="K24" s="13">
        <f t="shared" si="21"/>
        <v>0</v>
      </c>
      <c r="L24" s="13">
        <f t="shared" si="21"/>
        <v>0</v>
      </c>
      <c r="M24" s="13">
        <f t="shared" si="21"/>
        <v>1040</v>
      </c>
      <c r="N24" s="13">
        <f t="shared" si="21"/>
        <v>2080</v>
      </c>
      <c r="O24" s="13">
        <f t="shared" si="21"/>
        <v>3120</v>
      </c>
    </row>
    <row r="25" spans="1:15">
      <c r="A25" s="28"/>
      <c r="B25" s="174" t="s">
        <v>65</v>
      </c>
      <c r="C25" s="176">
        <f>SUM(C9:C24)</f>
        <v>567815.68233710667</v>
      </c>
      <c r="D25" s="178">
        <f t="shared" ref="D25" si="22">F25-E25+1</f>
        <v>8</v>
      </c>
      <c r="E25" s="180">
        <v>1</v>
      </c>
      <c r="F25" s="180">
        <v>8</v>
      </c>
      <c r="G25" s="27" t="s">
        <v>59</v>
      </c>
      <c r="H25" s="30">
        <f>H9+H11+H13+H15+H17+H19+H21+H23</f>
        <v>56869.329930290012</v>
      </c>
      <c r="I25" s="30">
        <f t="shared" ref="I25:O25" si="23">I11+I13+I15+I17+I19+I21+I23</f>
        <v>84284.053161458534</v>
      </c>
      <c r="J25" s="30">
        <f t="shared" si="23"/>
        <v>120986.61403227397</v>
      </c>
      <c r="K25" s="30">
        <f t="shared" si="23"/>
        <v>120986.61403227397</v>
      </c>
      <c r="L25" s="30">
        <f t="shared" si="23"/>
        <v>71461.388568363938</v>
      </c>
      <c r="M25" s="30">
        <f t="shared" si="23"/>
        <v>37742.560870815432</v>
      </c>
      <c r="N25" s="30">
        <f t="shared" si="23"/>
        <v>37742.560870815432</v>
      </c>
      <c r="O25" s="30">
        <f t="shared" si="23"/>
        <v>37742.560870815432</v>
      </c>
    </row>
    <row r="26" spans="1:15">
      <c r="A26" s="29"/>
      <c r="B26" s="175"/>
      <c r="C26" s="177"/>
      <c r="D26" s="179"/>
      <c r="E26" s="180"/>
      <c r="F26" s="180"/>
      <c r="G26" s="27" t="s">
        <v>64</v>
      </c>
      <c r="H26" s="30">
        <f>H25</f>
        <v>56869.329930290012</v>
      </c>
      <c r="I26" s="30">
        <f>H26+I25</f>
        <v>141153.38309174855</v>
      </c>
      <c r="J26" s="30">
        <f t="shared" ref="J26:M26" si="24">I26+J25</f>
        <v>262139.99712402251</v>
      </c>
      <c r="K26" s="30">
        <f t="shared" si="24"/>
        <v>383126.61115629645</v>
      </c>
      <c r="L26" s="30">
        <f t="shared" si="24"/>
        <v>454587.99972466042</v>
      </c>
      <c r="M26" s="30">
        <f t="shared" si="24"/>
        <v>492330.56059547584</v>
      </c>
      <c r="N26" s="30">
        <f t="shared" ref="N26" si="25">M26+N25</f>
        <v>530073.12146629125</v>
      </c>
      <c r="O26" s="30">
        <f t="shared" ref="O26" si="26">N26+O25</f>
        <v>567815.68233710667</v>
      </c>
    </row>
  </sheetData>
  <mergeCells count="64">
    <mergeCell ref="F9:F10"/>
    <mergeCell ref="A9:A10"/>
    <mergeCell ref="B9:B10"/>
    <mergeCell ref="C9:C10"/>
    <mergeCell ref="D9:D10"/>
    <mergeCell ref="E9:E10"/>
    <mergeCell ref="B25:B26"/>
    <mergeCell ref="C25:C26"/>
    <mergeCell ref="D25:D26"/>
    <mergeCell ref="E25:E26"/>
    <mergeCell ref="F25:F26"/>
    <mergeCell ref="F23:F24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B21:B22"/>
    <mergeCell ref="B23:B24"/>
    <mergeCell ref="F19:F20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B17:B18"/>
    <mergeCell ref="B19:B20"/>
    <mergeCell ref="A15:A16"/>
    <mergeCell ref="C15:C16"/>
    <mergeCell ref="D15:D16"/>
    <mergeCell ref="E15:E16"/>
    <mergeCell ref="F15:F16"/>
    <mergeCell ref="B15:B16"/>
    <mergeCell ref="A11:A12"/>
    <mergeCell ref="C13:C14"/>
    <mergeCell ref="D13:D14"/>
    <mergeCell ref="E13:E14"/>
    <mergeCell ref="F13:F14"/>
    <mergeCell ref="A13:A14"/>
    <mergeCell ref="B13:B14"/>
    <mergeCell ref="B11:B12"/>
    <mergeCell ref="C11:C12"/>
    <mergeCell ref="D11:D12"/>
    <mergeCell ref="E11:E12"/>
    <mergeCell ref="F11:F12"/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</mergeCells>
  <conditionalFormatting sqref="H6:O8">
    <cfRule type="cellIs" dxfId="3" priority="4" operator="equal">
      <formula>1</formula>
    </cfRule>
  </conditionalFormatting>
  <conditionalFormatting sqref="H6:O6">
    <cfRule type="cellIs" dxfId="2" priority="3" operator="equal">
      <formula>1</formula>
    </cfRule>
  </conditionalFormatting>
  <conditionalFormatting sqref="H7:O8">
    <cfRule type="cellIs" dxfId="1" priority="2" operator="equal">
      <formula>1</formula>
    </cfRule>
  </conditionalFormatting>
  <conditionalFormatting sqref="H9:O24">
    <cfRule type="cellIs" dxfId="0" priority="1" operator="notEqual">
      <formula>0</formula>
    </cfRule>
  </conditionalFormatting>
  <pageMargins left="0.25" right="0.25" top="0.75" bottom="0.75" header="0.3" footer="0.3"/>
  <pageSetup paperSize="9"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PPU</vt:lpstr>
      <vt:lpstr>CRONOGRAMA</vt:lpstr>
      <vt:lpstr>PPU!Area_de_impressao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User</cp:lastModifiedBy>
  <cp:lastPrinted>2020-05-18T17:26:28Z</cp:lastPrinted>
  <dcterms:created xsi:type="dcterms:W3CDTF">2018-04-06T14:41:31Z</dcterms:created>
  <dcterms:modified xsi:type="dcterms:W3CDTF">2020-05-18T17:29:31Z</dcterms:modified>
</cp:coreProperties>
</file>