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020" activeTab="1"/>
  </bookViews>
  <sheets>
    <sheet name="PPU" sheetId="1" r:id="rId1"/>
    <sheet name="CRONOGRAMA" sheetId="2" r:id="rId2"/>
  </sheets>
  <definedNames>
    <definedName name="_xlnm.Print_Area" localSheetId="0">PPU!$A$1:$J$67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J27" i="2"/>
  <c r="O21" i="2" l="1"/>
  <c r="N21" i="2"/>
  <c r="M21" i="2"/>
  <c r="L21" i="2"/>
  <c r="K21" i="2"/>
  <c r="J21" i="2"/>
  <c r="I21" i="2"/>
  <c r="I22" i="2" s="1"/>
  <c r="H21" i="2"/>
  <c r="H22" i="2" s="1"/>
  <c r="D21" i="2"/>
  <c r="G61" i="1"/>
  <c r="K22" i="2" l="1"/>
  <c r="L22" i="2"/>
  <c r="M22" i="2"/>
  <c r="N22" i="2" s="1"/>
  <c r="O22" i="2" s="1"/>
  <c r="J22" i="2"/>
  <c r="J58" i="1" l="1"/>
  <c r="H58" i="1"/>
  <c r="I65" i="1" l="1"/>
  <c r="I61" i="1"/>
  <c r="I54" i="1"/>
  <c r="I50" i="1"/>
  <c r="I48" i="1"/>
  <c r="I49" i="1" s="1"/>
  <c r="I19" i="1"/>
  <c r="H36" i="1" l="1"/>
  <c r="H28" i="1"/>
  <c r="H24" i="1"/>
  <c r="D25" i="2"/>
  <c r="D23" i="2"/>
  <c r="D19" i="2"/>
  <c r="D15" i="2"/>
  <c r="D17" i="2"/>
  <c r="D11" i="2"/>
  <c r="D13" i="2"/>
  <c r="D9" i="2"/>
  <c r="B9" i="2"/>
  <c r="H11" i="1"/>
  <c r="J11" i="1" l="1"/>
  <c r="J12" i="1" s="1"/>
  <c r="C9" i="2" s="1"/>
  <c r="H9" i="2" s="1"/>
  <c r="H10" i="2" s="1"/>
  <c r="I26" i="1"/>
  <c r="I30" i="1" l="1"/>
  <c r="I36" i="1"/>
  <c r="J36" i="1" s="1"/>
  <c r="J37" i="1" s="1"/>
  <c r="I59" i="1"/>
  <c r="I57" i="1"/>
  <c r="I55" i="1"/>
  <c r="I23" i="1"/>
  <c r="I32" i="1" l="1"/>
  <c r="I24" i="1"/>
  <c r="H32" i="1"/>
  <c r="H26" i="1"/>
  <c r="J26" i="1" s="1"/>
  <c r="J24" i="1" l="1"/>
  <c r="I28" i="1"/>
  <c r="J28" i="1" s="1"/>
  <c r="J32" i="1"/>
  <c r="H65" i="1"/>
  <c r="H61" i="1"/>
  <c r="H59" i="1"/>
  <c r="H55" i="1"/>
  <c r="H57" i="1"/>
  <c r="H54" i="1"/>
  <c r="H47" i="1"/>
  <c r="H48" i="1"/>
  <c r="H49" i="1"/>
  <c r="H50" i="1"/>
  <c r="H40" i="1"/>
  <c r="H41" i="1"/>
  <c r="H42" i="1"/>
  <c r="H46" i="1"/>
  <c r="H30" i="1"/>
  <c r="H23" i="1"/>
  <c r="H19" i="1"/>
  <c r="J48" i="1" l="1"/>
  <c r="J49" i="1"/>
  <c r="J50" i="1"/>
  <c r="J47" i="1"/>
  <c r="J65" i="1" l="1"/>
  <c r="J59" i="1"/>
  <c r="J57" i="1"/>
  <c r="J55" i="1"/>
  <c r="J54" i="1"/>
  <c r="J46" i="1"/>
  <c r="J51" i="1" s="1"/>
  <c r="J41" i="1"/>
  <c r="J40" i="1"/>
  <c r="J42" i="1"/>
  <c r="J30" i="1"/>
  <c r="J23" i="1"/>
  <c r="J19" i="1"/>
  <c r="J20" i="1" s="1"/>
  <c r="J33" i="1" l="1"/>
  <c r="J43" i="1"/>
  <c r="J66" i="1"/>
  <c r="C25" i="2" s="1"/>
  <c r="H15" i="1"/>
  <c r="J15" i="1" s="1"/>
  <c r="J16" i="1" s="1"/>
  <c r="C11" i="2" s="1"/>
  <c r="J61" i="1"/>
  <c r="J62" i="1" l="1"/>
  <c r="J67" i="1" s="1"/>
  <c r="H6" i="2"/>
  <c r="D27" i="2"/>
  <c r="I5" i="2"/>
  <c r="I6" i="2" l="1"/>
  <c r="I9" i="2"/>
  <c r="I10" i="2" s="1"/>
  <c r="J5" i="2"/>
  <c r="J11" i="2" l="1"/>
  <c r="J9" i="2"/>
  <c r="J10" i="2" s="1"/>
  <c r="K5" i="2"/>
  <c r="K11" i="2" l="1"/>
  <c r="K9" i="2"/>
  <c r="K10" i="2" s="1"/>
  <c r="L5" i="2"/>
  <c r="K15" i="2"/>
  <c r="L11" i="2" l="1"/>
  <c r="L9" i="2"/>
  <c r="L10" i="2" s="1"/>
  <c r="L13" i="2"/>
  <c r="M5" i="2"/>
  <c r="H15" i="2"/>
  <c r="H16" i="2" s="1"/>
  <c r="L15" i="2"/>
  <c r="N5" i="2"/>
  <c r="N9" i="2" s="1"/>
  <c r="N10" i="2" s="1"/>
  <c r="M15" i="2"/>
  <c r="M13" i="2" l="1"/>
  <c r="M14" i="2" s="1"/>
  <c r="M9" i="2"/>
  <c r="M10" i="2" s="1"/>
  <c r="M11" i="2"/>
  <c r="M12" i="2" s="1"/>
  <c r="H17" i="2"/>
  <c r="N25" i="2"/>
  <c r="N11" i="2"/>
  <c r="N12" i="2" s="1"/>
  <c r="O5" i="2"/>
  <c r="O9" i="2" s="1"/>
  <c r="O10" i="2" s="1"/>
  <c r="N13" i="2"/>
  <c r="N14" i="2" s="1"/>
  <c r="N15" i="2"/>
  <c r="N16" i="2" s="1"/>
  <c r="M16" i="2"/>
  <c r="H18" i="2" l="1"/>
  <c r="O25" i="2"/>
  <c r="O13" i="2"/>
  <c r="O14" i="2" s="1"/>
  <c r="O11" i="2"/>
  <c r="O12" i="2" s="1"/>
  <c r="O15" i="2"/>
  <c r="O16" i="2" s="1"/>
  <c r="O17" i="2"/>
  <c r="O19" i="2" l="1"/>
  <c r="H19" i="2"/>
  <c r="H20" i="2" l="1"/>
  <c r="H23" i="2"/>
  <c r="H24" i="2" s="1"/>
  <c r="I23" i="2"/>
  <c r="E7" i="2"/>
  <c r="I24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I19" i="2" l="1"/>
  <c r="I20" i="2" s="1"/>
  <c r="I13" i="2" l="1"/>
  <c r="J13" i="2"/>
  <c r="K13" i="2"/>
  <c r="M19" i="2"/>
  <c r="N19" i="2"/>
  <c r="L19" i="2"/>
  <c r="M23" i="2"/>
  <c r="N23" i="2"/>
  <c r="O23" i="2"/>
  <c r="L23" i="2"/>
  <c r="N17" i="2" l="1"/>
  <c r="M17" i="2"/>
  <c r="L17" i="2"/>
  <c r="K17" i="2"/>
  <c r="J23" i="2"/>
  <c r="J24" i="2" s="1"/>
  <c r="K23" i="2"/>
  <c r="H13" i="2"/>
  <c r="H14" i="2" s="1"/>
  <c r="I14" i="2" s="1"/>
  <c r="J14" i="2" s="1"/>
  <c r="K14" i="2" s="1"/>
  <c r="L14" i="2" s="1"/>
  <c r="C27" i="2" l="1"/>
  <c r="K25" i="2"/>
  <c r="L25" i="2"/>
  <c r="M25" i="2"/>
  <c r="I17" i="2"/>
  <c r="J17" i="2"/>
  <c r="K19" i="2"/>
  <c r="J19" i="2"/>
  <c r="I15" i="2"/>
  <c r="J15" i="2"/>
  <c r="K24" i="2"/>
  <c r="L24" i="2" s="1"/>
  <c r="M24" i="2" s="1"/>
  <c r="N24" i="2" s="1"/>
  <c r="O24" i="2" s="1"/>
  <c r="H25" i="2"/>
  <c r="H26" i="2" s="1"/>
  <c r="I25" i="2"/>
  <c r="J25" i="2"/>
  <c r="H11" i="2" l="1"/>
  <c r="I11" i="2"/>
  <c r="I27" i="2" s="1"/>
  <c r="I18" i="2"/>
  <c r="J18" i="2" s="1"/>
  <c r="K18" i="2" s="1"/>
  <c r="L18" i="2" s="1"/>
  <c r="M18" i="2" s="1"/>
  <c r="N18" i="2" s="1"/>
  <c r="O18" i="2" s="1"/>
  <c r="J20" i="2"/>
  <c r="K20" i="2" s="1"/>
  <c r="L20" i="2" s="1"/>
  <c r="M20" i="2" s="1"/>
  <c r="N20" i="2" s="1"/>
  <c r="O20" i="2" s="1"/>
  <c r="I16" i="2"/>
  <c r="J16" i="2" s="1"/>
  <c r="K16" i="2" s="1"/>
  <c r="L16" i="2" s="1"/>
  <c r="I26" i="2"/>
  <c r="J26" i="2" s="1"/>
  <c r="K26" i="2" s="1"/>
  <c r="L26" i="2" s="1"/>
  <c r="M26" i="2" s="1"/>
  <c r="N26" i="2" s="1"/>
  <c r="O26" i="2" s="1"/>
  <c r="H27" i="2" l="1"/>
  <c r="H28" i="2" s="1"/>
  <c r="I28" i="2" s="1"/>
  <c r="J28" i="2" s="1"/>
  <c r="K28" i="2" s="1"/>
  <c r="L28" i="2" s="1"/>
  <c r="M28" i="2" s="1"/>
  <c r="N28" i="2" s="1"/>
  <c r="H12" i="2"/>
  <c r="I12" i="2" s="1"/>
  <c r="J12" i="2" s="1"/>
  <c r="K12" i="2" s="1"/>
  <c r="L12" i="2" s="1"/>
  <c r="O28" i="2" l="1"/>
</calcChain>
</file>

<file path=xl/sharedStrings.xml><?xml version="1.0" encoding="utf-8"?>
<sst xmlns="http://schemas.openxmlformats.org/spreadsheetml/2006/main" count="189" uniqueCount="135">
  <si>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</si>
  <si>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</si>
  <si>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</si>
  <si>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</si>
  <si>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</si>
  <si>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</si>
  <si>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</si>
  <si>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</si>
  <si>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</si>
  <si>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</si>
  <si>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</si>
  <si>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</si>
  <si>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SERVIÇO EM SOLO E ROCHA, MECANIZADO</t>
  </si>
  <si>
    <t>Escavação ou corte mecanizados em campo aberto de solo, exceto rocha</t>
  </si>
  <si>
    <t>07.01.010</t>
  </si>
  <si>
    <t>Escavação e carga mecanizada para exploração de solo em jazida</t>
  </si>
  <si>
    <t>TUBULAÇÃO E CONDUTORES PARA LÍQUIDOS E GASES.</t>
  </si>
  <si>
    <t>Tubulação em concreto para rede de águas pluviais</t>
  </si>
  <si>
    <t>46.12.150</t>
  </si>
  <si>
    <t>Tubo de concreto (PA-2), DN= 600mm</t>
  </si>
  <si>
    <t>46.12.170</t>
  </si>
  <si>
    <t>Tubo de concreto (PA-2), DN= 1000mm</t>
  </si>
  <si>
    <t>CAIXA, RALO, GRELHA E ACESSÓRIO HIDRÁULICO</t>
  </si>
  <si>
    <t>Poço de visita / boca de lobo / caixa de passagem e afins</t>
  </si>
  <si>
    <t>49.12.010</t>
  </si>
  <si>
    <t>Boca de lobo simples tipo PMSP com tampa de concreto</t>
  </si>
  <si>
    <t>PAVIMENTAÇÃO E PASSEIO</t>
  </si>
  <si>
    <t>Pavimentação preparo de base</t>
  </si>
  <si>
    <t>54.01.010</t>
  </si>
  <si>
    <t>Regularização e compactação mecanizada de superfície, sem controle do proctor normal</t>
  </si>
  <si>
    <t>Pavimentação flexível</t>
  </si>
  <si>
    <t>54.03.210</t>
  </si>
  <si>
    <t>Camada de rolamento em concreto betuminoso usinado quente - CBUQ</t>
  </si>
  <si>
    <t>54.03.230</t>
  </si>
  <si>
    <t>Imprimação betuminosa ligante</t>
  </si>
  <si>
    <t>Guias e sarjetas</t>
  </si>
  <si>
    <t>Pintura de sinalização viária</t>
  </si>
  <si>
    <t>97.04.010</t>
  </si>
  <si>
    <t>Sinalização horizontal com tinta vinílica ou acrílica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</si>
  <si>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</si>
  <si>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</si>
  <si>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</si>
  <si>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</si>
  <si>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</si>
  <si>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</si>
  <si>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</si>
  <si>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TRANSPORTE E MOVIMENTAÇÃO, DENTRO E FORA DA OBRA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</si>
  <si>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</si>
  <si>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</si>
  <si>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</si>
  <si>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</si>
  <si>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</si>
  <si>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</si>
  <si>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</si>
  <si>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</si>
  <si>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</si>
  <si>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>Reaterro mecanizado sem fornecimento de material</t>
  </si>
  <si>
    <t>07.11.020</t>
  </si>
  <si>
    <t>Reaterro compactado mecanizado de vala ou cava com compactador</t>
  </si>
  <si>
    <t>46.12.160</t>
  </si>
  <si>
    <t>Tubo de concreto (PA-2), DN= 800mm</t>
  </si>
  <si>
    <t>Transporte mecanizado de solo</t>
  </si>
  <si>
    <t>05.10.020</t>
  </si>
  <si>
    <t>Transporte de solo de 1ª e 2ª categoria por caminhão até o 2° km</t>
  </si>
  <si>
    <t xml:space="preserve">CONVÊNIO: </t>
  </si>
  <si>
    <t xml:space="preserve">LOCAL: PIRAJUÍ </t>
  </si>
  <si>
    <t>49.12.140</t>
  </si>
  <si>
    <t>Poço de visita em alvenaria tipo PMSP - balão</t>
  </si>
  <si>
    <t>11.01.160</t>
  </si>
  <si>
    <t>Concreto usinado, fck = 30 MPa</t>
  </si>
  <si>
    <t>11.16.020</t>
  </si>
  <si>
    <t>Lançamento, espalhamento e adensamento de concreto ou massa em lastro e/ou enchimento</t>
  </si>
  <si>
    <t>10.02.020</t>
  </si>
  <si>
    <t>kg</t>
  </si>
  <si>
    <t>Armadura em tela soldada de aço - Q 196</t>
  </si>
  <si>
    <t>07.12.030</t>
  </si>
  <si>
    <t>Compactação de aterro mecanizado a 100% PN, sem fornecimento de solo em campo aberto</t>
  </si>
  <si>
    <t>Valor com BDI 22,93 %</t>
  </si>
  <si>
    <t>FONTE: CPOS - 176</t>
  </si>
  <si>
    <t>07.02.020</t>
  </si>
  <si>
    <t>Escavação mecanizada de valas ou cavas com profundidade de até 2 m</t>
  </si>
  <si>
    <t>02</t>
  </si>
  <si>
    <t>INÍCIO, APOIO E ADMINISTRAÇÃO DA OBRA</t>
  </si>
  <si>
    <t>02.08.020</t>
  </si>
  <si>
    <t>Placa de identificação para obra</t>
  </si>
  <si>
    <t>Sinalização de obra</t>
  </si>
  <si>
    <t>PLACA DA OBRA</t>
  </si>
  <si>
    <t>SINALIZAÇÃO VIÁRIA</t>
  </si>
  <si>
    <t>FINISA</t>
  </si>
  <si>
    <t>DATA BASE: JULHO 2019</t>
  </si>
  <si>
    <t>01</t>
  </si>
  <si>
    <t>SERVIÇO TÉCNICO ESPECIALIZADO</t>
  </si>
  <si>
    <t>01.20</t>
  </si>
  <si>
    <t>Levantamento topográfico e geofísico</t>
  </si>
  <si>
    <t>01.20.751</t>
  </si>
  <si>
    <t>Levantamento planimétrico cadastral com áreas acima de 50% de ocupação - área até 20.000 m² (mínimo de 4.000 m²)</t>
  </si>
  <si>
    <t>07.01.120</t>
  </si>
  <si>
    <t>Escavação mecanizada de valas e buracos em solo, exceto rocha</t>
  </si>
  <si>
    <t>07.12.040</t>
  </si>
  <si>
    <t>Aterro mecanizado por compensação, solo de 1ª categoria em campo aberto, sem compactação do aterro</t>
  </si>
  <si>
    <t>Aterro mecanizado sem fornecimento de material</t>
  </si>
  <si>
    <t>Carga e remoção de terra até a distância média de 3 km</t>
  </si>
  <si>
    <t>Apiloamento e nivelamento mecanizado de solo</t>
  </si>
  <si>
    <t>07.10.020</t>
  </si>
  <si>
    <t>Espalhamento de solo em bota-fora com compactação sem controle</t>
  </si>
  <si>
    <t>ESCORAMENTO, CONTENÇÃO E DRENAGEM</t>
  </si>
  <si>
    <t>Escoramento</t>
  </si>
  <si>
    <t>08.01.060</t>
  </si>
  <si>
    <t>Escoramento de solo pontaletado</t>
  </si>
  <si>
    <t xml:space="preserve">Obras de Infraestrutura no Bairro Nova Pirajuí no Município de Pirajuí </t>
  </si>
  <si>
    <t>Obras de Infraestrutura da Nova Pirajuí</t>
  </si>
  <si>
    <t>OBRA: Infraestrutura da Nova Pirajuí</t>
  </si>
  <si>
    <t>54.03.240</t>
  </si>
  <si>
    <t>Imprimação betuminosa impermeabilizante</t>
  </si>
  <si>
    <t>54.06.150</t>
  </si>
  <si>
    <t>Execução de perfil extrusado no local</t>
  </si>
  <si>
    <t>2.1</t>
  </si>
  <si>
    <t>3.1</t>
  </si>
  <si>
    <t>4.1</t>
  </si>
  <si>
    <t>4.2</t>
  </si>
  <si>
    <t>4.3</t>
  </si>
  <si>
    <t>4.4</t>
  </si>
  <si>
    <t>4.5</t>
  </si>
  <si>
    <t>5.1</t>
  </si>
  <si>
    <t>5.2</t>
  </si>
  <si>
    <t>5.2.1</t>
  </si>
  <si>
    <t>6.1</t>
  </si>
  <si>
    <t>7.1</t>
  </si>
  <si>
    <t>7.2</t>
  </si>
  <si>
    <t>7.3</t>
  </si>
  <si>
    <t>8.1</t>
  </si>
  <si>
    <t>TRANSPORTE E MOVIMENTAÇÃO</t>
  </si>
  <si>
    <t>SERVIÇO DE SOLO</t>
  </si>
  <si>
    <t>TUBULAÇÃO</t>
  </si>
  <si>
    <t>CAIXAS, ACESSÓRIOS HIDRAÚLICOS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</si>
</sst>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2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9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9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9" fillId="10" borderId="0" applyNumberFormat="0" applyBorder="0" applyAlignment="0" applyProtection="0"/>
    <xf numFmtId="0" fontId="17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34" borderId="0" applyNumberFormat="0" applyBorder="0" applyAlignment="0" applyProtection="0"/>
    <xf numFmtId="0" fontId="9" fillId="13" borderId="0" applyNumberFormat="0" applyBorder="0" applyAlignment="0" applyProtection="0"/>
    <xf numFmtId="0" fontId="17" fillId="37" borderId="0" applyNumberFormat="0" applyBorder="0" applyAlignment="0" applyProtection="0"/>
    <xf numFmtId="0" fontId="9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9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9" fillId="24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15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5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5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15" fillId="2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40" borderId="12" applyNumberFormat="0" applyAlignment="0" applyProtection="0"/>
    <xf numFmtId="0" fontId="14" fillId="6" borderId="8" applyNumberFormat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23" fillId="48" borderId="13" applyNumberFormat="0" applyAlignment="0" applyProtection="0"/>
    <xf numFmtId="0" fontId="42" fillId="0" borderId="0">
      <alignment vertical="center" wrapText="1"/>
    </xf>
    <xf numFmtId="0" fontId="20" fillId="49" borderId="0" applyNumberFormat="0" applyBorder="0" applyAlignment="0" applyProtection="0"/>
    <xf numFmtId="0" fontId="15" fillId="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5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0" fontId="4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40" fontId="18" fillId="0" borderId="0">
      <alignment vertical="center" wrapText="1"/>
    </xf>
    <xf numFmtId="40" fontId="18" fillId="0" borderId="0">
      <alignment vertical="center" wrapText="1"/>
    </xf>
    <xf numFmtId="40" fontId="18" fillId="0" borderId="0">
      <alignment vertical="center" wrapText="1"/>
    </xf>
    <xf numFmtId="0" fontId="25" fillId="32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1" fillId="31" borderId="0" applyNumberFormat="0" applyBorder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30" fillId="0" borderId="14" applyNumberFormat="0" applyFill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5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18" fillId="0" borderId="0"/>
    <xf numFmtId="0" fontId="5" fillId="0" borderId="0"/>
    <xf numFmtId="0" fontId="41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18" fillId="0" borderId="0"/>
    <xf numFmtId="0" fontId="41" fillId="0" borderId="0"/>
    <xf numFmtId="0" fontId="18" fillId="0" borderId="0"/>
    <xf numFmtId="0" fontId="50" fillId="0" borderId="0"/>
    <xf numFmtId="0" fontId="50" fillId="0" borderId="0"/>
    <xf numFmtId="0" fontId="18" fillId="0" borderId="0">
      <alignment vertical="center"/>
    </xf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45" fillId="0" borderId="0"/>
    <xf numFmtId="0" fontId="18" fillId="0" borderId="0"/>
    <xf numFmtId="0" fontId="4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32" fillId="26" borderId="19" applyNumberFormat="0" applyAlignment="0" applyProtection="0"/>
    <xf numFmtId="0" fontId="32" fillId="26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0" borderId="19" applyNumberFormat="0" applyAlignment="0" applyProtection="0"/>
    <xf numFmtId="0" fontId="13" fillId="6" borderId="9" applyNumberFormat="0" applyAlignment="0" applyProtection="0"/>
    <xf numFmtId="0" fontId="32" fillId="40" borderId="1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10" fillId="0" borderId="5" applyNumberFormat="0" applyFill="0" applyAlignment="0" applyProtection="0"/>
    <xf numFmtId="0" fontId="37" fillId="0" borderId="20" applyNumberFormat="0" applyFill="0" applyAlignment="0" applyProtection="0"/>
    <xf numFmtId="0" fontId="38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6" applyNumberFormat="0" applyFill="0" applyAlignment="0" applyProtection="0"/>
    <xf numFmtId="0" fontId="39" fillId="0" borderId="21" applyNumberFormat="0" applyFill="0" applyAlignment="0" applyProtection="0"/>
    <xf numFmtId="0" fontId="12" fillId="0" borderId="7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1" fillId="0" borderId="11" applyNumberFormat="0" applyFill="0" applyAlignment="0" applyProtection="0"/>
    <xf numFmtId="0" fontId="40" fillId="0" borderId="22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5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53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7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7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52" borderId="0" applyNumberFormat="0" applyBorder="0" applyAlignment="0" applyProtection="0"/>
    <xf numFmtId="0" fontId="9" fillId="24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6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9" fillId="0" borderId="0" applyNumberFormat="0" applyFont="0" applyBorder="0" applyAlignment="0"/>
    <xf numFmtId="0" fontId="60" fillId="54" borderId="0" applyNumberFormat="0" applyBorder="0" applyAlignment="0" applyProtection="0"/>
    <xf numFmtId="0" fontId="61" fillId="59" borderId="12" applyNumberFormat="0" applyAlignment="0" applyProtection="0"/>
    <xf numFmtId="0" fontId="62" fillId="60" borderId="13" applyNumberFormat="0" applyAlignment="0" applyProtection="0"/>
    <xf numFmtId="0" fontId="63" fillId="0" borderId="32" applyNumberFormat="0" applyFill="0" applyAlignment="0" applyProtection="0"/>
    <xf numFmtId="172" fontId="64" fillId="0" borderId="0">
      <protection locked="0"/>
    </xf>
    <xf numFmtId="41" fontId="18" fillId="0" borderId="0" applyFont="0" applyFill="0" applyBorder="0" applyAlignment="0" applyProtection="0"/>
    <xf numFmtId="173" fontId="64" fillId="0" borderId="0">
      <protection locked="0"/>
    </xf>
    <xf numFmtId="174" fontId="64" fillId="0" borderId="0">
      <protection locked="0"/>
    </xf>
    <xf numFmtId="42" fontId="18" fillId="0" borderId="0" applyFont="0" applyFill="0" applyBorder="0" applyAlignment="0" applyProtection="0"/>
    <xf numFmtId="175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8" fillId="61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65" fillId="5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17" fillId="0" borderId="0"/>
    <xf numFmtId="0" fontId="57" fillId="0" borderId="0"/>
    <xf numFmtId="0" fontId="17" fillId="0" borderId="0"/>
    <xf numFmtId="9" fontId="17" fillId="0" borderId="0"/>
    <xf numFmtId="178" fontId="64" fillId="0" borderId="0">
      <protection locked="0"/>
    </xf>
    <xf numFmtId="178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68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52" borderId="18" applyNumberFormat="0" applyAlignment="0" applyProtection="0"/>
    <xf numFmtId="180" fontId="64" fillId="0" borderId="0">
      <protection locked="0"/>
    </xf>
    <xf numFmtId="180" fontId="64" fillId="0" borderId="0">
      <protection locked="0"/>
    </xf>
    <xf numFmtId="0" fontId="70" fillId="0" borderId="33" applyNumberFormat="0" applyFont="0" applyBorder="0" applyAlignment="0"/>
    <xf numFmtId="4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71" fillId="59" borderId="19" applyNumberForma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8" fillId="0" borderId="0" applyFill="0" applyBorder="0" applyAlignment="0" applyProtection="0"/>
    <xf numFmtId="5" fontId="17" fillId="0" borderId="0" applyFill="0" applyBorder="0" applyAlignment="0" applyProtection="0"/>
    <xf numFmtId="177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6" fillId="0" borderId="0" applyNumberFormat="0" applyFill="0" applyBorder="0" applyAlignment="0" applyProtection="0"/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37" applyNumberFormat="0" applyFill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0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93" fillId="0" borderId="0" applyNumberFormat="0" applyBorder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44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17" fillId="66" borderId="0" applyNumberFormat="0" applyBorder="0" applyAlignment="0" applyProtection="0"/>
    <xf numFmtId="0" fontId="17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2" borderId="0" applyNumberFormat="0" applyBorder="0" applyAlignment="0" applyProtection="0"/>
    <xf numFmtId="0" fontId="17" fillId="72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9" borderId="0" applyNumberFormat="0" applyBorder="0" applyAlignment="0" applyProtection="0"/>
    <xf numFmtId="0" fontId="17" fillId="68" borderId="0" applyNumberFormat="0" applyBorder="0" applyAlignment="0" applyProtection="0"/>
    <xf numFmtId="0" fontId="17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47" borderId="0" applyNumberFormat="0" applyBorder="0" applyAlignment="0" applyProtection="0"/>
    <xf numFmtId="184" fontId="79" fillId="74" borderId="0" applyBorder="0" applyAlignment="0" applyProtection="0"/>
    <xf numFmtId="0" fontId="25" fillId="32" borderId="0" applyNumberFormat="0" applyBorder="0" applyAlignment="0" applyProtection="0"/>
    <xf numFmtId="185" fontId="80" fillId="59" borderId="38">
      <alignment horizontal="center"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3" fontId="84" fillId="0" borderId="0" applyFont="0" applyFill="0" applyBorder="0" applyAlignment="0" applyProtection="0"/>
    <xf numFmtId="0" fontId="83" fillId="0" borderId="0"/>
    <xf numFmtId="3" fontId="35" fillId="64" borderId="0" applyProtection="0">
      <alignment horizontal="center" vertical="center"/>
    </xf>
    <xf numFmtId="0" fontId="18" fillId="0" borderId="0" applyFont="0" applyFill="0" applyProtection="0">
      <alignment vertical="top"/>
    </xf>
    <xf numFmtId="0" fontId="83" fillId="0" borderId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186" fontId="93" fillId="0" borderId="0" applyBorder="0" applyProtection="0"/>
    <xf numFmtId="186" fontId="93" fillId="0" borderId="0" applyBorder="0" applyProtection="0"/>
    <xf numFmtId="0" fontId="93" fillId="0" borderId="0" applyNumberFormat="0" applyBorder="0" applyProtection="0"/>
    <xf numFmtId="187" fontId="94" fillId="0" borderId="0" applyBorder="0" applyProtection="0"/>
    <xf numFmtId="184" fontId="79" fillId="78" borderId="0" applyBorder="0" applyAlignment="0" applyProtection="0"/>
    <xf numFmtId="4" fontId="18" fillId="0" borderId="39">
      <alignment horizontal="right"/>
    </xf>
    <xf numFmtId="188" fontId="19" fillId="0" borderId="0">
      <alignment horizontal="left"/>
    </xf>
    <xf numFmtId="189" fontId="19" fillId="0" borderId="0">
      <alignment horizontal="left"/>
    </xf>
    <xf numFmtId="2" fontId="18" fillId="0" borderId="0" applyFont="0" applyFill="0" applyProtection="0">
      <alignment vertical="top"/>
    </xf>
    <xf numFmtId="0" fontId="95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184" fontId="79" fillId="79" borderId="0" applyBorder="0" applyAlignment="0" applyProtection="0"/>
    <xf numFmtId="0" fontId="21" fillId="31" borderId="0" applyNumberFormat="0" applyBorder="0" applyAlignment="0" applyProtection="0"/>
    <xf numFmtId="0" fontId="85" fillId="0" borderId="0"/>
    <xf numFmtId="167" fontId="8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3" fontId="18" fillId="0" borderId="0" applyFont="0" applyFill="0" applyBorder="0" applyAlignment="0" applyProtection="0"/>
    <xf numFmtId="3" fontId="18" fillId="0" borderId="0"/>
    <xf numFmtId="169" fontId="18" fillId="0" borderId="0" applyFont="0" applyFill="0" applyBorder="0" applyAlignment="0" applyProtection="0"/>
    <xf numFmtId="4" fontId="88" fillId="64" borderId="40" applyProtection="0">
      <alignment horizontal="right"/>
    </xf>
    <xf numFmtId="0" fontId="31" fillId="35" borderId="0" applyNumberFormat="0" applyBorder="0" applyAlignment="0" applyProtection="0"/>
    <xf numFmtId="185" fontId="89" fillId="80" borderId="38">
      <alignment horizontal="center"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41" fillId="0" borderId="0"/>
    <xf numFmtId="0" fontId="41" fillId="0" borderId="0"/>
    <xf numFmtId="0" fontId="87" fillId="0" borderId="0"/>
    <xf numFmtId="0" fontId="18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83" fillId="0" borderId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Alignment="0" applyProtection="0"/>
    <xf numFmtId="9" fontId="9" fillId="0" borderId="0" applyFont="0" applyFill="0" applyBorder="0" applyAlignment="0" applyProtection="0"/>
    <xf numFmtId="0" fontId="96" fillId="0" borderId="0" applyNumberFormat="0" applyBorder="0" applyProtection="0"/>
    <xf numFmtId="190" fontId="96" fillId="0" borderId="0" applyBorder="0" applyProtection="0"/>
    <xf numFmtId="0" fontId="32" fillId="40" borderId="19" applyNumberFormat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/>
    <xf numFmtId="193" fontId="92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44" fontId="18" fillId="0" borderId="0" applyFont="0" applyFill="0" applyBorder="0" applyAlignment="0" applyProtection="0"/>
    <xf numFmtId="194" fontId="83" fillId="0" borderId="0"/>
    <xf numFmtId="43" fontId="16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83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43" fontId="3" fillId="2" borderId="1" xfId="2" applyFont="1" applyFill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43" fontId="5" fillId="0" borderId="1" xfId="2" applyFont="1" applyBorder="1"/>
    <xf numFmtId="2" fontId="0" fillId="0" borderId="0" xfId="0" applyNumberFormat="1"/>
    <xf numFmtId="0" fontId="9" fillId="0" borderId="0" xfId="3292" applyBorder="1"/>
    <xf numFmtId="0" fontId="9" fillId="0" borderId="30" xfId="3292" applyFill="1" applyBorder="1"/>
    <xf numFmtId="3" fontId="9" fillId="0" borderId="30" xfId="3292" applyNumberFormat="1" applyBorder="1"/>
    <xf numFmtId="4" fontId="9" fillId="0" borderId="30" xfId="3292" applyNumberFormat="1" applyFill="1" applyBorder="1"/>
    <xf numFmtId="0" fontId="102" fillId="82" borderId="30" xfId="3292" applyFont="1" applyFill="1" applyBorder="1" applyAlignment="1">
      <alignment horizontal="center"/>
    </xf>
    <xf numFmtId="3" fontId="102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9" fillId="83" borderId="30" xfId="3292" applyFont="1" applyFill="1" applyBorder="1"/>
    <xf numFmtId="43" fontId="5" fillId="0" borderId="1" xfId="2" applyFont="1" applyFill="1" applyBorder="1"/>
    <xf numFmtId="43" fontId="3" fillId="2" borderId="3" xfId="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3" fillId="4" borderId="3" xfId="2" applyFont="1" applyFill="1" applyBorder="1"/>
    <xf numFmtId="43" fontId="53" fillId="4" borderId="24" xfId="493" applyFont="1" applyFill="1" applyBorder="1" applyAlignment="1">
      <alignment horizontal="center" vertical="center"/>
    </xf>
    <xf numFmtId="0" fontId="53" fillId="4" borderId="51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9" fillId="4" borderId="30" xfId="3292" applyNumberFormat="1" applyFill="1" applyBorder="1"/>
    <xf numFmtId="0" fontId="0" fillId="4" borderId="54" xfId="0" applyFill="1" applyBorder="1"/>
    <xf numFmtId="0" fontId="0" fillId="4" borderId="55" xfId="0" applyFill="1" applyBorder="1"/>
    <xf numFmtId="4" fontId="1" fillId="4" borderId="30" xfId="0" applyNumberFormat="1" applyFont="1" applyFill="1" applyBorder="1" applyAlignment="1"/>
    <xf numFmtId="0" fontId="97" fillId="0" borderId="30" xfId="188" applyFont="1" applyFill="1" applyBorder="1" applyAlignment="1">
      <alignment horizontal="center" vertical="center" wrapText="1"/>
    </xf>
    <xf numFmtId="0" fontId="97" fillId="0" borderId="31" xfId="188" applyFont="1" applyFill="1" applyBorder="1" applyAlignment="1">
      <alignment horizontal="center" vertical="center" wrapText="1"/>
    </xf>
    <xf numFmtId="0" fontId="97" fillId="0" borderId="30" xfId="188" applyFont="1" applyFill="1" applyBorder="1" applyAlignment="1">
      <alignment vertical="center" wrapText="1"/>
    </xf>
    <xf numFmtId="43" fontId="3" fillId="4" borderId="57" xfId="2" applyFont="1" applyFill="1" applyBorder="1"/>
    <xf numFmtId="0" fontId="3" fillId="2" borderId="56" xfId="1" applyFont="1" applyFill="1" applyBorder="1" applyAlignment="1">
      <alignment horizontal="left" vertical="top" wrapText="1"/>
    </xf>
    <xf numFmtId="43" fontId="3" fillId="2" borderId="57" xfId="2" applyFont="1" applyFill="1" applyBorder="1"/>
    <xf numFmtId="0" fontId="5" fillId="0" borderId="56" xfId="1" applyFont="1" applyBorder="1"/>
    <xf numFmtId="2" fontId="0" fillId="0" borderId="57" xfId="0" applyNumberFormat="1" applyBorder="1"/>
    <xf numFmtId="2" fontId="8" fillId="4" borderId="43" xfId="0" applyNumberFormat="1" applyFont="1" applyFill="1" applyBorder="1"/>
    <xf numFmtId="0" fontId="6" fillId="3" borderId="64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left" vertical="center"/>
    </xf>
    <xf numFmtId="0" fontId="7" fillId="0" borderId="65" xfId="1" applyFont="1" applyBorder="1" applyAlignment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vertical="center" wrapText="1"/>
    </xf>
    <xf numFmtId="2" fontId="6" fillId="3" borderId="6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3" fontId="5" fillId="5" borderId="1" xfId="2" applyFont="1" applyFill="1" applyBorder="1"/>
    <xf numFmtId="2" fontId="0" fillId="5" borderId="57" xfId="0" applyNumberFormat="1" applyFill="1" applyBorder="1"/>
    <xf numFmtId="0" fontId="0" fillId="0" borderId="69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7" xfId="0" applyNumberFormat="1" applyFont="1" applyFill="1" applyBorder="1"/>
    <xf numFmtId="2" fontId="1" fillId="84" borderId="3" xfId="0" applyNumberFormat="1" applyFont="1" applyFill="1" applyBorder="1"/>
    <xf numFmtId="0" fontId="1" fillId="84" borderId="70" xfId="0" applyFont="1" applyFill="1" applyBorder="1"/>
    <xf numFmtId="2" fontId="1" fillId="84" borderId="59" xfId="0" applyNumberFormat="1" applyFont="1" applyFill="1" applyBorder="1"/>
    <xf numFmtId="0" fontId="53" fillId="4" borderId="23" xfId="188" applyFont="1" applyFill="1" applyBorder="1" applyAlignment="1">
      <alignment vertical="center"/>
    </xf>
    <xf numFmtId="0" fontId="18" fillId="26" borderId="1" xfId="0" applyFont="1" applyFill="1" applyBorder="1" applyAlignment="1">
      <alignment horizontal="left" vertical="top" wrapText="1"/>
    </xf>
    <xf numFmtId="43" fontId="18" fillId="26" borderId="1" xfId="2" applyFont="1" applyFill="1" applyBorder="1" applyAlignment="1">
      <alignment horizontal="right" vertical="top" wrapText="1"/>
    </xf>
    <xf numFmtId="0" fontId="18" fillId="26" borderId="1" xfId="0" applyFont="1" applyFill="1" applyBorder="1" applyAlignment="1">
      <alignment horizontal="center" vertical="top" wrapText="1"/>
    </xf>
    <xf numFmtId="0" fontId="18" fillId="26" borderId="1" xfId="0" applyFont="1" applyFill="1" applyBorder="1" applyAlignment="1">
      <alignment horizontal="left" vertical="top"/>
    </xf>
    <xf numFmtId="0" fontId="103" fillId="85" borderId="2" xfId="0" applyFont="1" applyFill="1" applyBorder="1" applyAlignment="1">
      <alignment horizontal="left" vertical="top"/>
    </xf>
    <xf numFmtId="0" fontId="104" fillId="85" borderId="2" xfId="0" applyFont="1" applyFill="1" applyBorder="1" applyAlignment="1">
      <alignment horizontal="left" vertical="top" wrapText="1"/>
    </xf>
    <xf numFmtId="0" fontId="3" fillId="85" borderId="1" xfId="1" applyFont="1" applyFill="1" applyBorder="1" applyAlignment="1"/>
    <xf numFmtId="0" fontId="3" fillId="85" borderId="1" xfId="1" applyFont="1" applyFill="1" applyBorder="1" applyAlignment="1">
      <alignment wrapText="1"/>
    </xf>
    <xf numFmtId="43" fontId="3" fillId="85" borderId="1" xfId="2" applyFont="1" applyFill="1" applyBorder="1"/>
    <xf numFmtId="0" fontId="104" fillId="4" borderId="39" xfId="0" applyFont="1" applyFill="1" applyBorder="1" applyAlignment="1">
      <alignment horizontal="left" vertical="top" wrapText="1"/>
    </xf>
    <xf numFmtId="0" fontId="103" fillId="4" borderId="39" xfId="0" applyFont="1" applyFill="1" applyBorder="1" applyAlignment="1">
      <alignment horizontal="left" vertical="top"/>
    </xf>
    <xf numFmtId="43" fontId="5" fillId="0" borderId="1" xfId="2" applyFont="1" applyBorder="1" applyAlignment="1"/>
    <xf numFmtId="43" fontId="5" fillId="5" borderId="1" xfId="2" applyFont="1" applyFill="1" applyBorder="1" applyAlignment="1"/>
    <xf numFmtId="43" fontId="5" fillId="0" borderId="1" xfId="2" applyFont="1" applyFill="1" applyBorder="1" applyAlignment="1"/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7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6" fillId="3" borderId="39" xfId="1" applyNumberFormat="1" applyFont="1" applyFill="1" applyBorder="1" applyAlignment="1" applyProtection="1">
      <alignment horizontal="center" vertical="center" wrapText="1"/>
    </xf>
    <xf numFmtId="0" fontId="104" fillId="4" borderId="39" xfId="0" applyFont="1" applyFill="1" applyBorder="1" applyAlignment="1">
      <alignment horizontal="center" vertical="top" wrapText="1"/>
    </xf>
    <xf numFmtId="43" fontId="104" fillId="4" borderId="39" xfId="2" applyFont="1" applyFill="1" applyBorder="1" applyAlignment="1">
      <alignment horizontal="right" vertical="top" wrapText="1"/>
    </xf>
    <xf numFmtId="43" fontId="18" fillId="26" borderId="1" xfId="2" applyFont="1" applyFill="1" applyBorder="1" applyAlignment="1">
      <alignment horizontal="center" vertical="top" wrapText="1"/>
    </xf>
    <xf numFmtId="0" fontId="103" fillId="86" borderId="1" xfId="0" applyFont="1" applyFill="1" applyBorder="1" applyAlignment="1">
      <alignment horizontal="left" vertical="top"/>
    </xf>
    <xf numFmtId="0" fontId="104" fillId="86" borderId="1" xfId="0" applyFont="1" applyFill="1" applyBorder="1" applyAlignment="1">
      <alignment horizontal="left" vertical="top" wrapText="1"/>
    </xf>
    <xf numFmtId="0" fontId="104" fillId="86" borderId="1" xfId="0" applyFont="1" applyFill="1" applyBorder="1" applyAlignment="1">
      <alignment horizontal="center" vertical="top" wrapText="1"/>
    </xf>
    <xf numFmtId="43" fontId="104" fillId="86" borderId="1" xfId="2" applyFont="1" applyFill="1" applyBorder="1" applyAlignment="1">
      <alignment horizontal="right" vertical="top" wrapText="1"/>
    </xf>
    <xf numFmtId="0" fontId="103" fillId="86" borderId="2" xfId="0" applyFont="1" applyFill="1" applyBorder="1" applyAlignment="1">
      <alignment horizontal="left" vertical="top"/>
    </xf>
    <xf numFmtId="0" fontId="104" fillId="86" borderId="2" xfId="0" applyFont="1" applyFill="1" applyBorder="1" applyAlignment="1">
      <alignment horizontal="left" vertical="top" wrapText="1"/>
    </xf>
    <xf numFmtId="0" fontId="104" fillId="86" borderId="2" xfId="0" applyFont="1" applyFill="1" applyBorder="1" applyAlignment="1">
      <alignment horizontal="center" vertical="top" wrapText="1"/>
    </xf>
    <xf numFmtId="43" fontId="104" fillId="86" borderId="2" xfId="2" applyFont="1" applyFill="1" applyBorder="1" applyAlignment="1">
      <alignment horizontal="right" vertical="top" wrapText="1"/>
    </xf>
    <xf numFmtId="0" fontId="103" fillId="4" borderId="1" xfId="0" applyFont="1" applyFill="1" applyBorder="1" applyAlignment="1">
      <alignment horizontal="left" vertical="top"/>
    </xf>
    <xf numFmtId="0" fontId="104" fillId="4" borderId="1" xfId="0" applyFont="1" applyFill="1" applyBorder="1" applyAlignment="1">
      <alignment horizontal="left" vertical="top" wrapText="1"/>
    </xf>
    <xf numFmtId="0" fontId="104" fillId="4" borderId="1" xfId="0" applyFont="1" applyFill="1" applyBorder="1" applyAlignment="1">
      <alignment horizontal="center" vertical="top" wrapText="1"/>
    </xf>
    <xf numFmtId="43" fontId="104" fillId="4" borderId="1" xfId="2" applyFont="1" applyFill="1" applyBorder="1" applyAlignment="1">
      <alignment horizontal="right" vertical="top" wrapText="1"/>
    </xf>
    <xf numFmtId="0" fontId="15" fillId="5" borderId="0" xfId="0" applyFont="1" applyFill="1"/>
    <xf numFmtId="43" fontId="18" fillId="5" borderId="1" xfId="2" applyFont="1" applyFill="1" applyBorder="1"/>
    <xf numFmtId="0" fontId="5" fillId="0" borderId="1" xfId="1" applyFont="1" applyBorder="1" applyAlignment="1">
      <alignment horizontal="center"/>
    </xf>
    <xf numFmtId="0" fontId="16" fillId="26" borderId="1" xfId="0" applyFont="1" applyFill="1" applyBorder="1" applyAlignment="1">
      <alignment horizontal="left" vertical="top" wrapText="1"/>
    </xf>
    <xf numFmtId="0" fontId="16" fillId="26" borderId="1" xfId="0" applyFont="1" applyFill="1" applyBorder="1" applyAlignment="1">
      <alignment horizontal="left" vertical="top"/>
    </xf>
    <xf numFmtId="0" fontId="16" fillId="26" borderId="1" xfId="0" applyFont="1" applyFill="1" applyBorder="1" applyAlignment="1">
      <alignment horizontal="center" vertical="top" wrapText="1"/>
    </xf>
    <xf numFmtId="43" fontId="16" fillId="26" borderId="1" xfId="2" applyFont="1" applyFill="1" applyBorder="1" applyAlignment="1">
      <alignment horizontal="right" vertical="top" wrapText="1"/>
    </xf>
    <xf numFmtId="0" fontId="103" fillId="85" borderId="2" xfId="6215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98" fillId="81" borderId="26" xfId="3" applyNumberFormat="1" applyFont="1" applyFill="1" applyBorder="1" applyAlignment="1" applyProtection="1">
      <alignment horizontal="center" vertical="center" wrapText="1"/>
    </xf>
    <xf numFmtId="0" fontId="98" fillId="81" borderId="27" xfId="3" applyNumberFormat="1" applyFont="1" applyFill="1" applyBorder="1" applyAlignment="1" applyProtection="1">
      <alignment horizontal="center" vertical="center" wrapText="1"/>
    </xf>
    <xf numFmtId="0" fontId="98" fillId="81" borderId="42" xfId="3" applyNumberFormat="1" applyFont="1" applyFill="1" applyBorder="1" applyAlignment="1" applyProtection="1">
      <alignment horizontal="center" vertical="center" wrapText="1"/>
    </xf>
    <xf numFmtId="0" fontId="99" fillId="81" borderId="29" xfId="3" applyFont="1" applyFill="1" applyBorder="1" applyAlignment="1">
      <alignment horizontal="center"/>
    </xf>
    <xf numFmtId="0" fontId="99" fillId="81" borderId="0" xfId="3" applyFont="1" applyFill="1" applyBorder="1" applyAlignment="1">
      <alignment horizontal="center"/>
    </xf>
    <xf numFmtId="0" fontId="99" fillId="81" borderId="41" xfId="3" applyFont="1" applyFill="1" applyBorder="1" applyAlignment="1">
      <alignment horizontal="center"/>
    </xf>
    <xf numFmtId="0" fontId="100" fillId="81" borderId="29" xfId="3" applyFont="1" applyFill="1" applyBorder="1" applyAlignment="1">
      <alignment horizontal="center" vertical="center"/>
    </xf>
    <xf numFmtId="0" fontId="100" fillId="81" borderId="0" xfId="3" applyFont="1" applyFill="1" applyBorder="1" applyAlignment="1">
      <alignment horizontal="center" vertical="center"/>
    </xf>
    <xf numFmtId="0" fontId="100" fillId="81" borderId="41" xfId="3" applyFont="1" applyFill="1" applyBorder="1" applyAlignment="1">
      <alignment horizontal="center" vertical="center"/>
    </xf>
    <xf numFmtId="0" fontId="54" fillId="5" borderId="29" xfId="188" applyFont="1" applyFill="1" applyBorder="1" applyAlignment="1">
      <alignment horizontal="center"/>
    </xf>
    <xf numFmtId="0" fontId="54" fillId="5" borderId="0" xfId="188" applyFont="1" applyFill="1" applyBorder="1" applyAlignment="1">
      <alignment horizontal="center"/>
    </xf>
    <xf numFmtId="0" fontId="54" fillId="5" borderId="41" xfId="188" applyFont="1" applyFill="1" applyBorder="1" applyAlignment="1">
      <alignment horizontal="center"/>
    </xf>
    <xf numFmtId="0" fontId="97" fillId="0" borderId="29" xfId="188" applyFont="1" applyFill="1" applyBorder="1" applyAlignment="1">
      <alignment horizontal="center" vertical="center" wrapText="1"/>
    </xf>
    <xf numFmtId="0" fontId="97" fillId="0" borderId="0" xfId="188" applyFont="1" applyFill="1" applyBorder="1" applyAlignment="1">
      <alignment horizontal="center" vertical="center" wrapText="1"/>
    </xf>
    <xf numFmtId="0" fontId="97" fillId="0" borderId="41" xfId="188" applyFont="1" applyFill="1" applyBorder="1" applyAlignment="1">
      <alignment horizontal="center" vertical="center" wrapText="1"/>
    </xf>
    <xf numFmtId="0" fontId="53" fillId="4" borderId="23" xfId="188" applyFont="1" applyFill="1" applyBorder="1" applyAlignment="1">
      <alignment horizontal="center" vertical="center"/>
    </xf>
    <xf numFmtId="0" fontId="53" fillId="4" borderId="25" xfId="188" applyFont="1" applyFill="1" applyBorder="1" applyAlignment="1">
      <alignment horizontal="center" vertical="center"/>
    </xf>
    <xf numFmtId="49" fontId="53" fillId="4" borderId="23" xfId="493" quotePrefix="1" applyNumberFormat="1" applyFont="1" applyFill="1" applyBorder="1" applyAlignment="1">
      <alignment horizontal="center" vertical="center"/>
    </xf>
    <xf numFmtId="49" fontId="53" fillId="4" borderId="24" xfId="493" quotePrefix="1" applyNumberFormat="1" applyFont="1" applyFill="1" applyBorder="1" applyAlignment="1">
      <alignment horizontal="center" vertical="center"/>
    </xf>
    <xf numFmtId="49" fontId="53" fillId="4" borderId="25" xfId="493" quotePrefix="1" applyNumberFormat="1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98" fillId="81" borderId="29" xfId="0" applyNumberFormat="1" applyFont="1" applyFill="1" applyBorder="1" applyAlignment="1" applyProtection="1">
      <alignment horizontal="center" vertical="center" wrapText="1"/>
    </xf>
    <xf numFmtId="0" fontId="98" fillId="81" borderId="0" xfId="0" applyNumberFormat="1" applyFont="1" applyFill="1" applyBorder="1" applyAlignment="1" applyProtection="1">
      <alignment horizontal="center" vertical="center" wrapText="1"/>
    </xf>
    <xf numFmtId="0" fontId="99" fillId="81" borderId="29" xfId="0" applyFont="1" applyFill="1" applyBorder="1" applyAlignment="1">
      <alignment horizontal="center"/>
    </xf>
    <xf numFmtId="0" fontId="99" fillId="81" borderId="0" xfId="0" applyFont="1" applyFill="1" applyBorder="1" applyAlignment="1">
      <alignment horizontal="center"/>
    </xf>
    <xf numFmtId="0" fontId="100" fillId="81" borderId="29" xfId="0" applyFont="1" applyFill="1" applyBorder="1" applyAlignment="1">
      <alignment horizontal="center" vertical="center"/>
    </xf>
    <xf numFmtId="0" fontId="100" fillId="81" borderId="0" xfId="0" applyFont="1" applyFill="1" applyBorder="1" applyAlignment="1">
      <alignment horizontal="center" vertical="center"/>
    </xf>
    <xf numFmtId="0" fontId="97" fillId="0" borderId="53" xfId="188" applyFont="1" applyFill="1" applyBorder="1" applyAlignment="1">
      <alignment horizontal="center" vertical="center" wrapText="1"/>
    </xf>
    <xf numFmtId="0" fontId="97" fillId="0" borderId="48" xfId="188" applyFont="1" applyFill="1" applyBorder="1" applyAlignment="1">
      <alignment horizontal="center" vertical="center" wrapText="1"/>
    </xf>
    <xf numFmtId="0" fontId="1" fillId="83" borderId="44" xfId="3292" applyFont="1" applyFill="1" applyBorder="1" applyAlignment="1">
      <alignment horizontal="left" vertical="center"/>
    </xf>
    <xf numFmtId="0" fontId="1" fillId="83" borderId="45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1" fillId="83" borderId="49" xfId="3292" applyFont="1" applyFill="1" applyBorder="1" applyAlignment="1">
      <alignment horizontal="left" vertical="center"/>
    </xf>
    <xf numFmtId="0" fontId="9" fillId="83" borderId="46" xfId="3292" applyFill="1" applyBorder="1" applyAlignment="1">
      <alignment horizontal="center" vertical="center"/>
    </xf>
    <xf numFmtId="0" fontId="9" fillId="83" borderId="50" xfId="3292" applyFill="1" applyBorder="1" applyAlignment="1">
      <alignment horizontal="center" vertical="center"/>
    </xf>
    <xf numFmtId="3" fontId="9" fillId="83" borderId="46" xfId="3292" applyNumberFormat="1" applyFill="1" applyBorder="1" applyAlignment="1">
      <alignment horizontal="center" vertical="center"/>
    </xf>
    <xf numFmtId="3" fontId="9" fillId="83" borderId="47" xfId="3292" applyNumberFormat="1" applyFill="1" applyBorder="1" applyAlignment="1">
      <alignment horizontal="right" vertical="center"/>
    </xf>
    <xf numFmtId="0" fontId="9" fillId="83" borderId="50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101" fillId="0" borderId="29" xfId="3292" applyFont="1" applyBorder="1" applyAlignment="1">
      <alignment horizontal="center" vertical="center"/>
    </xf>
    <xf numFmtId="0" fontId="101" fillId="0" borderId="0" xfId="3292" applyFont="1" applyBorder="1" applyAlignment="1">
      <alignment horizontal="center" vertical="center"/>
    </xf>
    <xf numFmtId="0" fontId="9" fillId="0" borderId="46" xfId="3292" applyBorder="1" applyAlignment="1">
      <alignment horizontal="center" vertical="center"/>
    </xf>
    <xf numFmtId="0" fontId="9" fillId="0" borderId="50" xfId="3292" applyBorder="1" applyAlignment="1">
      <alignment horizontal="center" vertical="center"/>
    </xf>
    <xf numFmtId="4" fontId="9" fillId="84" borderId="30" xfId="3292" applyNumberFormat="1" applyFill="1" applyBorder="1" applyAlignment="1">
      <alignment horizontal="right" vertical="center"/>
    </xf>
    <xf numFmtId="0" fontId="9" fillId="84" borderId="30" xfId="3292" applyFill="1" applyBorder="1" applyAlignment="1">
      <alignment horizontal="right" vertical="center"/>
    </xf>
    <xf numFmtId="3" fontId="9" fillId="0" borderId="30" xfId="3292" applyNumberFormat="1" applyFill="1" applyBorder="1" applyAlignment="1">
      <alignment horizontal="center" vertical="center"/>
    </xf>
    <xf numFmtId="0" fontId="9" fillId="0" borderId="30" xfId="3292" applyBorder="1" applyAlignment="1">
      <alignment horizontal="center" vertical="center"/>
    </xf>
    <xf numFmtId="3" fontId="9" fillId="0" borderId="30" xfId="3292" applyNumberFormat="1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9" fillId="0" borderId="30" xfId="3292" applyBorder="1" applyAlignment="1">
      <alignment horizontal="left" vertical="center"/>
    </xf>
    <xf numFmtId="0" fontId="0" fillId="0" borderId="30" xfId="3292" applyFont="1" applyBorder="1" applyAlignment="1">
      <alignment horizontal="center" vertical="center"/>
    </xf>
    <xf numFmtId="3" fontId="9" fillId="0" borderId="46" xfId="3292" applyNumberFormat="1" applyBorder="1" applyAlignment="1">
      <alignment horizontal="center" vertical="center"/>
    </xf>
    <xf numFmtId="3" fontId="9" fillId="0" borderId="50" xfId="3292" applyNumberFormat="1" applyBorder="1" applyAlignment="1">
      <alignment horizontal="center" vertical="center"/>
    </xf>
    <xf numFmtId="0" fontId="1" fillId="4" borderId="44" xfId="0" applyFont="1" applyFill="1" applyBorder="1" applyAlignment="1">
      <alignment horizontal="right" vertical="center" wrapText="1"/>
    </xf>
    <xf numFmtId="0" fontId="1" fillId="4" borderId="48" xfId="0" applyFont="1" applyFill="1" applyBorder="1" applyAlignment="1">
      <alignment horizontal="right" vertical="center" wrapText="1"/>
    </xf>
    <xf numFmtId="4" fontId="1" fillId="4" borderId="46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</cellXfs>
  <cellStyles count="6216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" xfId="6215" builtinId="3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4"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19050</xdr:colOff>
      <xdr:row>2</xdr:row>
      <xdr:rowOff>123825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A65" sqref="A65"/>
    </sheetView>
  </sheetViews>
  <sheetFormatPr defaultRowHeight="15"/>
  <cols>
    <col min="1" max="1" width="10.7109375" customWidth="1"/>
    <col min="2" max="2" width="5" customWidth="1"/>
    <col min="3" max="3" width="48.85546875" customWidth="1"/>
    <col min="4" max="4" width="6.140625" customWidth="1"/>
    <col min="5" max="5" width="9.28515625" customWidth="1"/>
    <col min="6" max="6" width="9.85546875" customWidth="1"/>
    <col min="7" max="7" width="11.7109375" customWidth="1"/>
    <col min="8" max="8" width="12.140625" customWidth="1"/>
    <col min="9" max="9" width="11.5703125" customWidth="1"/>
    <col min="10" max="10" width="15" style="9" customWidth="1"/>
  </cols>
  <sheetData>
    <row r="1" spans="1:10" ht="64.5" customHeight="1">
      <c r="A1" s="105" t="s">
        <v>40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>
      <c r="A2" s="108" t="s">
        <v>41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>
      <c r="A3" s="111" t="s">
        <v>42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ht="18">
      <c r="A4" s="114" t="s">
        <v>43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0" ht="16.5" customHeight="1" thickBot="1">
      <c r="A5" s="117" t="s">
        <v>109</v>
      </c>
      <c r="B5" s="118"/>
      <c r="C5" s="118"/>
      <c r="D5" s="118"/>
      <c r="E5" s="118"/>
      <c r="F5" s="118"/>
      <c r="G5" s="118"/>
      <c r="H5" s="118"/>
      <c r="I5" s="118"/>
      <c r="J5" s="119"/>
    </row>
    <row r="6" spans="1:10" ht="40.5" customHeight="1" thickBot="1">
      <c r="A6" s="120" t="s">
        <v>65</v>
      </c>
      <c r="B6" s="121"/>
      <c r="C6" s="24" t="s">
        <v>111</v>
      </c>
      <c r="D6" s="122" t="s">
        <v>89</v>
      </c>
      <c r="E6" s="123"/>
      <c r="F6" s="124"/>
      <c r="G6" s="25" t="s">
        <v>64</v>
      </c>
      <c r="H6" s="60" t="s">
        <v>88</v>
      </c>
      <c r="I6" s="120" t="s">
        <v>78</v>
      </c>
      <c r="J6" s="121"/>
    </row>
    <row r="7" spans="1:10" ht="7.5" customHeight="1" thickBot="1">
      <c r="A7" s="128"/>
      <c r="B7" s="129"/>
      <c r="C7" s="129"/>
      <c r="D7" s="129"/>
      <c r="E7" s="129"/>
      <c r="F7" s="129"/>
      <c r="G7" s="129"/>
      <c r="H7" s="129"/>
      <c r="I7" s="129"/>
      <c r="J7" s="130"/>
    </row>
    <row r="8" spans="1:10" ht="25.5">
      <c r="A8" s="40" t="s">
        <v>1</v>
      </c>
      <c r="B8" s="41" t="s">
        <v>2</v>
      </c>
      <c r="C8" s="42"/>
      <c r="D8" s="43" t="s">
        <v>3</v>
      </c>
      <c r="E8" s="43" t="s">
        <v>4</v>
      </c>
      <c r="F8" s="43" t="s">
        <v>5</v>
      </c>
      <c r="G8" s="43" t="s">
        <v>6</v>
      </c>
      <c r="H8" s="43" t="s">
        <v>77</v>
      </c>
      <c r="I8" s="43" t="s">
        <v>8</v>
      </c>
      <c r="J8" s="44" t="s">
        <v>9</v>
      </c>
    </row>
    <row r="9" spans="1:10">
      <c r="A9" s="84" t="s">
        <v>90</v>
      </c>
      <c r="B9" s="84" t="s">
        <v>91</v>
      </c>
      <c r="C9" s="85"/>
      <c r="D9" s="86"/>
      <c r="E9" s="87"/>
      <c r="F9" s="87"/>
      <c r="G9" s="87"/>
      <c r="H9" s="87"/>
      <c r="I9" s="87"/>
      <c r="J9" s="87"/>
    </row>
    <row r="10" spans="1:10" ht="25.5">
      <c r="A10" s="70" t="s">
        <v>92</v>
      </c>
      <c r="B10" s="71" t="s">
        <v>93</v>
      </c>
      <c r="C10" s="70"/>
      <c r="D10" s="81"/>
      <c r="E10" s="82"/>
      <c r="F10" s="82"/>
      <c r="G10" s="82"/>
      <c r="H10" s="82"/>
      <c r="I10" s="82"/>
      <c r="J10" s="82"/>
    </row>
    <row r="11" spans="1:10" ht="38.25">
      <c r="A11" s="61" t="s">
        <v>94</v>
      </c>
      <c r="B11" s="64"/>
      <c r="C11" s="61" t="s">
        <v>95</v>
      </c>
      <c r="D11" s="63" t="s">
        <v>0</v>
      </c>
      <c r="E11" s="83">
        <v>0.25</v>
      </c>
      <c r="F11" s="62">
        <v>0.28000000000000003</v>
      </c>
      <c r="G11" s="62">
        <v>0.53</v>
      </c>
      <c r="H11" s="8">
        <f>G11*1.2293</f>
        <v>0.65152900000000002</v>
      </c>
      <c r="I11" s="18">
        <v>12685.44</v>
      </c>
      <c r="J11" s="49">
        <f>H11*I11</f>
        <v>8264.9320377600015</v>
      </c>
    </row>
    <row r="12" spans="1:10">
      <c r="A12" s="77"/>
      <c r="B12" s="78"/>
      <c r="C12" s="79"/>
      <c r="D12" s="80"/>
      <c r="E12" s="80"/>
      <c r="F12" s="80"/>
      <c r="G12" s="80"/>
      <c r="H12" s="80"/>
      <c r="I12" s="55" t="s">
        <v>44</v>
      </c>
      <c r="J12" s="56">
        <f>SUM(J11)</f>
        <v>8264.9320377600015</v>
      </c>
    </row>
    <row r="13" spans="1:10">
      <c r="A13" s="65" t="s">
        <v>81</v>
      </c>
      <c r="B13" s="65" t="s">
        <v>82</v>
      </c>
      <c r="C13" s="66"/>
      <c r="D13" s="22"/>
      <c r="E13" s="22"/>
      <c r="F13" s="22"/>
      <c r="G13" s="22"/>
      <c r="H13" s="22"/>
      <c r="I13" s="22"/>
      <c r="J13" s="34"/>
    </row>
    <row r="14" spans="1:10">
      <c r="A14" s="70" t="s">
        <v>116</v>
      </c>
      <c r="B14" s="71" t="s">
        <v>85</v>
      </c>
      <c r="C14" s="70"/>
      <c r="D14" s="4"/>
      <c r="E14" s="5"/>
      <c r="F14" s="5"/>
      <c r="G14" s="5"/>
      <c r="H14" s="5"/>
      <c r="I14" s="5"/>
      <c r="J14" s="36"/>
    </row>
    <row r="15" spans="1:10" ht="16.5" customHeight="1">
      <c r="A15" s="61" t="s">
        <v>83</v>
      </c>
      <c r="B15" s="64"/>
      <c r="C15" s="61" t="s">
        <v>84</v>
      </c>
      <c r="D15" s="63" t="s">
        <v>0</v>
      </c>
      <c r="E15" s="62">
        <v>330.7</v>
      </c>
      <c r="F15" s="62">
        <v>62.02</v>
      </c>
      <c r="G15" s="62">
        <v>392.72</v>
      </c>
      <c r="H15" s="8">
        <f>G15*1.2293</f>
        <v>482.77069600000004</v>
      </c>
      <c r="I15" s="18">
        <v>6</v>
      </c>
      <c r="J15" s="38">
        <f>H15*I15</f>
        <v>2896.6241760000003</v>
      </c>
    </row>
    <row r="16" spans="1:10">
      <c r="A16" s="141"/>
      <c r="B16" s="142"/>
      <c r="C16" s="142"/>
      <c r="D16" s="142"/>
      <c r="E16" s="142"/>
      <c r="F16" s="142"/>
      <c r="G16" s="142"/>
      <c r="H16" s="54"/>
      <c r="I16" s="55" t="s">
        <v>44</v>
      </c>
      <c r="J16" s="56">
        <f>SUM(J15)</f>
        <v>2896.6241760000003</v>
      </c>
    </row>
    <row r="17" spans="1:13">
      <c r="A17" s="103">
        <v>3</v>
      </c>
      <c r="B17" s="67" t="s">
        <v>46</v>
      </c>
      <c r="C17" s="68"/>
      <c r="D17" s="69"/>
      <c r="E17" s="69"/>
      <c r="F17" s="69"/>
      <c r="G17" s="69"/>
      <c r="H17" s="69"/>
      <c r="I17" s="69"/>
      <c r="J17" s="69"/>
    </row>
    <row r="18" spans="1:13">
      <c r="A18" s="1" t="s">
        <v>117</v>
      </c>
      <c r="B18" s="2" t="s">
        <v>61</v>
      </c>
      <c r="C18" s="3"/>
      <c r="D18" s="4"/>
      <c r="E18" s="5"/>
      <c r="F18" s="5"/>
      <c r="G18" s="5"/>
      <c r="H18" s="5"/>
      <c r="I18" s="5"/>
      <c r="J18" s="5"/>
    </row>
    <row r="19" spans="1:13" ht="26.25" customHeight="1">
      <c r="A19" s="6" t="s">
        <v>62</v>
      </c>
      <c r="B19" s="6"/>
      <c r="C19" s="7" t="s">
        <v>63</v>
      </c>
      <c r="D19" s="98" t="s">
        <v>11</v>
      </c>
      <c r="E19" s="62">
        <v>4.68</v>
      </c>
      <c r="F19" s="62">
        <v>0</v>
      </c>
      <c r="G19" s="62">
        <v>4.68</v>
      </c>
      <c r="H19" s="8">
        <f>G19*1.2293</f>
        <v>5.7531239999999997</v>
      </c>
      <c r="I19" s="72">
        <f>0.2*I11</f>
        <v>2537.0880000000002</v>
      </c>
      <c r="J19" s="38">
        <f>H19*I19</f>
        <v>14596.181862912001</v>
      </c>
    </row>
    <row r="20" spans="1:13">
      <c r="A20" s="6"/>
      <c r="B20" s="6"/>
      <c r="C20" s="7"/>
      <c r="D20" s="6"/>
      <c r="E20" s="8"/>
      <c r="F20" s="8"/>
      <c r="G20" s="8"/>
      <c r="H20" s="8"/>
      <c r="I20" s="55" t="s">
        <v>44</v>
      </c>
      <c r="J20" s="57">
        <f>SUM(J19)</f>
        <v>14596.181862912001</v>
      </c>
    </row>
    <row r="21" spans="1:13">
      <c r="A21" s="65">
        <v>4</v>
      </c>
      <c r="B21" s="67" t="s">
        <v>12</v>
      </c>
      <c r="C21" s="68"/>
      <c r="D21" s="69"/>
      <c r="E21" s="69"/>
      <c r="F21" s="69"/>
      <c r="G21" s="69"/>
      <c r="H21" s="69"/>
      <c r="I21" s="69"/>
      <c r="J21" s="69"/>
    </row>
    <row r="22" spans="1:13">
      <c r="A22" s="1" t="s">
        <v>118</v>
      </c>
      <c r="B22" s="2" t="s">
        <v>13</v>
      </c>
      <c r="C22" s="3"/>
      <c r="D22" s="4"/>
      <c r="E22" s="5"/>
      <c r="F22" s="5"/>
      <c r="G22" s="5"/>
      <c r="H22" s="5"/>
      <c r="I22" s="5"/>
      <c r="J22" s="5"/>
    </row>
    <row r="23" spans="1:13" ht="26.25">
      <c r="A23" s="6" t="s">
        <v>14</v>
      </c>
      <c r="B23" s="6"/>
      <c r="C23" s="7" t="s">
        <v>15</v>
      </c>
      <c r="D23" s="98" t="s">
        <v>11</v>
      </c>
      <c r="E23" s="62">
        <v>8.36</v>
      </c>
      <c r="F23" s="62">
        <v>0.19</v>
      </c>
      <c r="G23" s="62">
        <v>8.5500000000000007</v>
      </c>
      <c r="H23" s="8">
        <f>G23*1.2293</f>
        <v>10.510515000000002</v>
      </c>
      <c r="I23" s="72">
        <f>I19</f>
        <v>2537.0880000000002</v>
      </c>
      <c r="J23" s="8">
        <f>H23*I23</f>
        <v>26666.101480320005</v>
      </c>
    </row>
    <row r="24" spans="1:13">
      <c r="A24" s="61" t="s">
        <v>96</v>
      </c>
      <c r="B24" s="64"/>
      <c r="C24" s="61" t="s">
        <v>101</v>
      </c>
      <c r="D24" s="63" t="s">
        <v>11</v>
      </c>
      <c r="E24" s="62">
        <v>8.0299999999999994</v>
      </c>
      <c r="F24" s="62">
        <v>0</v>
      </c>
      <c r="G24" s="62">
        <v>8.0299999999999994</v>
      </c>
      <c r="H24" s="8">
        <f>G24*1.2293</f>
        <v>9.8712789999999995</v>
      </c>
      <c r="I24" s="72">
        <f>I23</f>
        <v>2537.0880000000002</v>
      </c>
      <c r="J24" s="8">
        <f>H24*I24</f>
        <v>25044.303495552002</v>
      </c>
    </row>
    <row r="25" spans="1:13">
      <c r="A25" s="65" t="s">
        <v>119</v>
      </c>
      <c r="B25" s="71" t="s">
        <v>97</v>
      </c>
      <c r="C25" s="70"/>
      <c r="D25" s="81"/>
      <c r="E25" s="82"/>
      <c r="F25" s="82"/>
      <c r="G25" s="82"/>
      <c r="H25" s="82"/>
      <c r="I25" s="82"/>
      <c r="J25" s="82"/>
    </row>
    <row r="26" spans="1:13" ht="25.5">
      <c r="A26" s="61" t="s">
        <v>79</v>
      </c>
      <c r="B26" s="64"/>
      <c r="C26" s="61" t="s">
        <v>80</v>
      </c>
      <c r="D26" s="63" t="s">
        <v>11</v>
      </c>
      <c r="E26" s="62">
        <v>5.69</v>
      </c>
      <c r="F26" s="62">
        <v>0.87</v>
      </c>
      <c r="G26" s="62">
        <v>6.56</v>
      </c>
      <c r="H26" s="8">
        <f>G26*1.2293</f>
        <v>8.0642080000000007</v>
      </c>
      <c r="I26" s="72">
        <f>(I40+I41+I42)*1.8</f>
        <v>1629</v>
      </c>
      <c r="J26" s="8">
        <f>H26*I26</f>
        <v>13136.594832000001</v>
      </c>
    </row>
    <row r="27" spans="1:13">
      <c r="A27" s="65" t="s">
        <v>120</v>
      </c>
      <c r="B27" s="71" t="s">
        <v>102</v>
      </c>
      <c r="C27" s="70"/>
      <c r="D27" s="81"/>
      <c r="E27" s="82"/>
      <c r="F27" s="82"/>
      <c r="G27" s="82"/>
      <c r="H27" s="8"/>
      <c r="I27" s="72"/>
      <c r="J27" s="8"/>
    </row>
    <row r="28" spans="1:13" ht="25.5">
      <c r="A28" s="61" t="s">
        <v>103</v>
      </c>
      <c r="B28" s="64"/>
      <c r="C28" s="61" t="s">
        <v>104</v>
      </c>
      <c r="D28" s="63" t="s">
        <v>11</v>
      </c>
      <c r="E28" s="62">
        <v>3.17</v>
      </c>
      <c r="F28" s="62">
        <v>0.08</v>
      </c>
      <c r="G28" s="62">
        <v>3.25</v>
      </c>
      <c r="H28" s="8">
        <f>G28*1.2293</f>
        <v>3.995225</v>
      </c>
      <c r="I28" s="72">
        <f>I24</f>
        <v>2537.0880000000002</v>
      </c>
      <c r="J28" s="8">
        <f>H28*I28</f>
        <v>10136.2374048</v>
      </c>
    </row>
    <row r="29" spans="1:13">
      <c r="A29" s="65" t="s">
        <v>121</v>
      </c>
      <c r="B29" s="2" t="s">
        <v>56</v>
      </c>
      <c r="C29" s="3"/>
      <c r="D29" s="4"/>
      <c r="E29" s="5"/>
      <c r="F29" s="5"/>
      <c r="G29" s="5"/>
      <c r="H29" s="5"/>
      <c r="I29" s="5"/>
      <c r="J29" s="5"/>
    </row>
    <row r="30" spans="1:13" ht="26.25">
      <c r="A30" s="6" t="s">
        <v>57</v>
      </c>
      <c r="B30" s="6"/>
      <c r="C30" s="7" t="s">
        <v>58</v>
      </c>
      <c r="D30" s="6" t="s">
        <v>11</v>
      </c>
      <c r="E30" s="62">
        <v>2.7</v>
      </c>
      <c r="F30" s="62">
        <v>1.88</v>
      </c>
      <c r="G30" s="62">
        <v>4.58</v>
      </c>
      <c r="H30" s="8">
        <f>G30*1.2293</f>
        <v>5.6301940000000004</v>
      </c>
      <c r="I30" s="8">
        <f>I26*0.7</f>
        <v>1140.3</v>
      </c>
      <c r="J30" s="8">
        <f>H30*I30</f>
        <v>6420.1102182000004</v>
      </c>
    </row>
    <row r="31" spans="1:13">
      <c r="A31" s="65" t="s">
        <v>122</v>
      </c>
      <c r="B31" s="71" t="s">
        <v>100</v>
      </c>
      <c r="C31" s="70"/>
      <c r="D31" s="81"/>
      <c r="E31" s="82"/>
      <c r="F31" s="82"/>
      <c r="G31" s="82"/>
      <c r="H31" s="82"/>
      <c r="I31" s="82"/>
      <c r="J31" s="82"/>
      <c r="M31" s="96"/>
    </row>
    <row r="32" spans="1:13" ht="27" customHeight="1">
      <c r="A32" s="61" t="s">
        <v>98</v>
      </c>
      <c r="B32" s="64"/>
      <c r="C32" s="61" t="s">
        <v>99</v>
      </c>
      <c r="D32" s="63" t="s">
        <v>11</v>
      </c>
      <c r="E32" s="62">
        <v>10.88</v>
      </c>
      <c r="F32" s="62">
        <v>0.27</v>
      </c>
      <c r="G32" s="62">
        <v>11.15</v>
      </c>
      <c r="H32" s="8">
        <f>G32*1.2293</f>
        <v>13.706695000000002</v>
      </c>
      <c r="I32" s="8">
        <f>I23</f>
        <v>2537.0880000000002</v>
      </c>
      <c r="J32" s="8">
        <f>H32*I32</f>
        <v>34775.091404160004</v>
      </c>
    </row>
    <row r="33" spans="1:10">
      <c r="A33" s="46"/>
      <c r="B33" s="47"/>
      <c r="C33" s="47"/>
      <c r="D33" s="47"/>
      <c r="E33" s="47"/>
      <c r="F33" s="47"/>
      <c r="G33" s="47"/>
      <c r="H33" s="54"/>
      <c r="I33" s="55" t="s">
        <v>44</v>
      </c>
      <c r="J33" s="56">
        <f>SUM(J23:J32)</f>
        <v>116178.43883503202</v>
      </c>
    </row>
    <row r="34" spans="1:10">
      <c r="A34" s="65">
        <v>5</v>
      </c>
      <c r="B34" s="88" t="s">
        <v>105</v>
      </c>
      <c r="C34" s="89"/>
      <c r="D34" s="90"/>
      <c r="E34" s="91"/>
      <c r="F34" s="91"/>
      <c r="G34" s="91"/>
      <c r="H34" s="91"/>
      <c r="I34" s="91"/>
      <c r="J34" s="91"/>
    </row>
    <row r="35" spans="1:10">
      <c r="A35" s="92" t="s">
        <v>123</v>
      </c>
      <c r="B35" s="92" t="s">
        <v>106</v>
      </c>
      <c r="C35" s="93"/>
      <c r="D35" s="94"/>
      <c r="E35" s="95"/>
      <c r="F35" s="95"/>
      <c r="G35" s="95"/>
      <c r="H35" s="95"/>
      <c r="I35" s="95"/>
      <c r="J35" s="95"/>
    </row>
    <row r="36" spans="1:10">
      <c r="A36" s="61" t="s">
        <v>107</v>
      </c>
      <c r="B36" s="64"/>
      <c r="C36" s="61" t="s">
        <v>108</v>
      </c>
      <c r="D36" s="63" t="s">
        <v>0</v>
      </c>
      <c r="E36" s="62">
        <v>6.91</v>
      </c>
      <c r="F36" s="62">
        <v>5.78</v>
      </c>
      <c r="G36" s="62">
        <v>12.69</v>
      </c>
      <c r="H36" s="8">
        <f>G36*1.2293</f>
        <v>15.599817</v>
      </c>
      <c r="I36" s="97">
        <f>I26</f>
        <v>1629</v>
      </c>
      <c r="J36" s="8">
        <f>H36*I36</f>
        <v>25412.101892999999</v>
      </c>
    </row>
    <row r="37" spans="1:10">
      <c r="A37" s="75"/>
      <c r="B37" s="76"/>
      <c r="C37" s="76"/>
      <c r="D37" s="76"/>
      <c r="E37" s="76"/>
      <c r="F37" s="76"/>
      <c r="G37" s="76"/>
      <c r="H37" s="76"/>
      <c r="I37" s="55" t="s">
        <v>44</v>
      </c>
      <c r="J37" s="56">
        <f>SUM(J36)</f>
        <v>25412.101892999999</v>
      </c>
    </row>
    <row r="38" spans="1:10">
      <c r="A38" s="65" t="s">
        <v>124</v>
      </c>
      <c r="B38" s="20" t="s">
        <v>16</v>
      </c>
      <c r="C38" s="21"/>
      <c r="D38" s="22"/>
      <c r="E38" s="22"/>
      <c r="F38" s="22"/>
      <c r="G38" s="22"/>
      <c r="H38" s="22"/>
      <c r="I38" s="22"/>
      <c r="J38" s="34"/>
    </row>
    <row r="39" spans="1:10">
      <c r="A39" s="65" t="s">
        <v>125</v>
      </c>
      <c r="B39" s="2" t="s">
        <v>17</v>
      </c>
      <c r="C39" s="3"/>
      <c r="D39" s="4"/>
      <c r="E39" s="5"/>
      <c r="F39" s="5"/>
      <c r="G39" s="5"/>
      <c r="H39" s="5"/>
      <c r="I39" s="5"/>
      <c r="J39" s="36"/>
    </row>
    <row r="40" spans="1:10" ht="14.25" customHeight="1">
      <c r="A40" s="37" t="s">
        <v>18</v>
      </c>
      <c r="B40" s="6"/>
      <c r="C40" s="7" t="s">
        <v>19</v>
      </c>
      <c r="D40" s="98" t="s">
        <v>10</v>
      </c>
      <c r="E40" s="62">
        <v>96.9</v>
      </c>
      <c r="F40" s="62">
        <v>35.799999999999997</v>
      </c>
      <c r="G40" s="62">
        <v>132.69999999999999</v>
      </c>
      <c r="H40" s="8">
        <f t="shared" ref="H40:H42" si="0">G40*1.2293</f>
        <v>163.12810999999999</v>
      </c>
      <c r="I40" s="73">
        <v>361</v>
      </c>
      <c r="J40" s="38">
        <f t="shared" ref="J40:J42" si="1">H40*I40</f>
        <v>58889.247709999996</v>
      </c>
    </row>
    <row r="41" spans="1:10" ht="15" customHeight="1">
      <c r="A41" s="6" t="s">
        <v>59</v>
      </c>
      <c r="B41" s="6"/>
      <c r="C41" s="7" t="s">
        <v>60</v>
      </c>
      <c r="D41" s="98" t="s">
        <v>10</v>
      </c>
      <c r="E41" s="62">
        <v>188.09</v>
      </c>
      <c r="F41" s="62">
        <v>46.12</v>
      </c>
      <c r="G41" s="62">
        <v>234.21</v>
      </c>
      <c r="H41" s="8">
        <f t="shared" si="0"/>
        <v>287.91435300000001</v>
      </c>
      <c r="I41" s="73">
        <v>221</v>
      </c>
      <c r="J41" s="38">
        <f t="shared" si="1"/>
        <v>63629.072013000005</v>
      </c>
    </row>
    <row r="42" spans="1:10" ht="14.25" customHeight="1">
      <c r="A42" s="37" t="s">
        <v>20</v>
      </c>
      <c r="B42" s="6"/>
      <c r="C42" s="7" t="s">
        <v>21</v>
      </c>
      <c r="D42" s="98" t="s">
        <v>10</v>
      </c>
      <c r="E42" s="62">
        <v>274.57</v>
      </c>
      <c r="F42" s="62">
        <v>58.09</v>
      </c>
      <c r="G42" s="62">
        <v>332.66</v>
      </c>
      <c r="H42" s="8">
        <f t="shared" si="0"/>
        <v>408.93893800000006</v>
      </c>
      <c r="I42" s="73">
        <v>323</v>
      </c>
      <c r="J42" s="38">
        <f t="shared" si="1"/>
        <v>132087.27697400001</v>
      </c>
    </row>
    <row r="43" spans="1:10" ht="14.25" customHeight="1">
      <c r="A43" s="134"/>
      <c r="B43" s="135"/>
      <c r="C43" s="135"/>
      <c r="D43" s="135"/>
      <c r="E43" s="135"/>
      <c r="F43" s="135"/>
      <c r="G43" s="135"/>
      <c r="H43" s="51"/>
      <c r="I43" s="55" t="s">
        <v>44</v>
      </c>
      <c r="J43" s="56">
        <f>SUM(J40:J42)</f>
        <v>254605.596697</v>
      </c>
    </row>
    <row r="44" spans="1:10">
      <c r="A44" s="65">
        <v>6</v>
      </c>
      <c r="B44" s="20" t="s">
        <v>22</v>
      </c>
      <c r="C44" s="21"/>
      <c r="D44" s="22"/>
      <c r="E44" s="22"/>
      <c r="F44" s="22"/>
      <c r="G44" s="22"/>
      <c r="H44" s="22"/>
      <c r="I44" s="22"/>
      <c r="J44" s="34"/>
    </row>
    <row r="45" spans="1:10">
      <c r="A45" s="65" t="s">
        <v>126</v>
      </c>
      <c r="B45" s="2" t="s">
        <v>23</v>
      </c>
      <c r="C45" s="3"/>
      <c r="D45" s="4"/>
      <c r="E45" s="5"/>
      <c r="F45" s="5"/>
      <c r="G45" s="5"/>
      <c r="H45" s="5"/>
      <c r="I45" s="5"/>
      <c r="J45" s="36"/>
    </row>
    <row r="46" spans="1:10" ht="15.75" customHeight="1">
      <c r="A46" s="37" t="s">
        <v>24</v>
      </c>
      <c r="B46" s="6"/>
      <c r="C46" s="7" t="s">
        <v>25</v>
      </c>
      <c r="D46" s="98" t="s">
        <v>7</v>
      </c>
      <c r="E46" s="62">
        <v>1035.25</v>
      </c>
      <c r="F46" s="62">
        <v>1071.6500000000001</v>
      </c>
      <c r="G46" s="62">
        <v>2106.9</v>
      </c>
      <c r="H46" s="8">
        <f>G46*1.2293</f>
        <v>2590.0121700000004</v>
      </c>
      <c r="I46" s="48">
        <v>28</v>
      </c>
      <c r="J46" s="38">
        <f>I46*H46</f>
        <v>72520.340760000006</v>
      </c>
    </row>
    <row r="47" spans="1:10">
      <c r="A47" s="61" t="s">
        <v>66</v>
      </c>
      <c r="B47" s="6"/>
      <c r="C47" s="61" t="s">
        <v>67</v>
      </c>
      <c r="D47" s="98" t="s">
        <v>7</v>
      </c>
      <c r="E47" s="62">
        <v>1236.17</v>
      </c>
      <c r="F47" s="62">
        <v>1679.25</v>
      </c>
      <c r="G47" s="62">
        <v>2915.42</v>
      </c>
      <c r="H47" s="8">
        <f t="shared" ref="H47:H50" si="2">G47*1.2293</f>
        <v>3583.9258060000002</v>
      </c>
      <c r="I47" s="73">
        <v>6</v>
      </c>
      <c r="J47" s="38">
        <f>I47*H47</f>
        <v>21503.554836000003</v>
      </c>
    </row>
    <row r="48" spans="1:10">
      <c r="A48" s="61" t="s">
        <v>68</v>
      </c>
      <c r="B48" s="6"/>
      <c r="C48" s="61" t="s">
        <v>69</v>
      </c>
      <c r="D48" s="63" t="s">
        <v>11</v>
      </c>
      <c r="E48" s="62">
        <v>290.36</v>
      </c>
      <c r="F48" s="62">
        <v>0</v>
      </c>
      <c r="G48" s="62">
        <v>290.36</v>
      </c>
      <c r="H48" s="8">
        <f t="shared" si="2"/>
        <v>356.93954800000006</v>
      </c>
      <c r="I48" s="73">
        <f>12*1.6*0.12*7</f>
        <v>16.128</v>
      </c>
      <c r="J48" s="38">
        <f t="shared" ref="J48:J50" si="3">I48*H48</f>
        <v>5756.7210301440009</v>
      </c>
    </row>
    <row r="49" spans="1:10" ht="25.5">
      <c r="A49" s="61" t="s">
        <v>70</v>
      </c>
      <c r="B49" s="6"/>
      <c r="C49" s="61" t="s">
        <v>71</v>
      </c>
      <c r="D49" s="63" t="s">
        <v>11</v>
      </c>
      <c r="E49" s="62">
        <v>0</v>
      </c>
      <c r="F49" s="62">
        <v>56.92</v>
      </c>
      <c r="G49" s="62">
        <v>56.92</v>
      </c>
      <c r="H49" s="8">
        <f t="shared" si="2"/>
        <v>69.971755999999999</v>
      </c>
      <c r="I49" s="73">
        <f>I48</f>
        <v>16.128</v>
      </c>
      <c r="J49" s="38">
        <f t="shared" si="3"/>
        <v>1128.5044807679999</v>
      </c>
    </row>
    <row r="50" spans="1:10">
      <c r="A50" s="61" t="s">
        <v>72</v>
      </c>
      <c r="B50" s="64"/>
      <c r="C50" s="61" t="s">
        <v>74</v>
      </c>
      <c r="D50" s="63" t="s">
        <v>73</v>
      </c>
      <c r="E50" s="62">
        <v>6.28</v>
      </c>
      <c r="F50" s="62">
        <v>0.87</v>
      </c>
      <c r="G50" s="62">
        <v>7.15</v>
      </c>
      <c r="H50" s="8">
        <f t="shared" si="2"/>
        <v>8.7894950000000005</v>
      </c>
      <c r="I50" s="73">
        <f>7*19.2*3.11</f>
        <v>417.98399999999998</v>
      </c>
      <c r="J50" s="38">
        <f t="shared" si="3"/>
        <v>3673.86827808</v>
      </c>
    </row>
    <row r="51" spans="1:10" ht="14.25" customHeight="1">
      <c r="A51" s="136"/>
      <c r="B51" s="137"/>
      <c r="C51" s="137"/>
      <c r="D51" s="137"/>
      <c r="E51" s="137"/>
      <c r="F51" s="137"/>
      <c r="G51" s="137"/>
      <c r="H51" s="52"/>
      <c r="I51" s="55" t="s">
        <v>44</v>
      </c>
      <c r="J51" s="56">
        <f>SUM(J46:J50)</f>
        <v>104582.98938499202</v>
      </c>
    </row>
    <row r="52" spans="1:10" ht="12.75" customHeight="1">
      <c r="A52" s="65">
        <v>7</v>
      </c>
      <c r="B52" s="20" t="s">
        <v>26</v>
      </c>
      <c r="C52" s="21"/>
      <c r="D52" s="22"/>
      <c r="E52" s="22"/>
      <c r="F52" s="22"/>
      <c r="G52" s="22"/>
      <c r="H52" s="22"/>
      <c r="I52" s="22"/>
      <c r="J52" s="34"/>
    </row>
    <row r="53" spans="1:10">
      <c r="A53" s="65" t="s">
        <v>127</v>
      </c>
      <c r="B53" s="2" t="s">
        <v>27</v>
      </c>
      <c r="C53" s="3"/>
      <c r="D53" s="4"/>
      <c r="E53" s="5"/>
      <c r="F53" s="5"/>
      <c r="G53" s="5"/>
      <c r="H53" s="5"/>
      <c r="I53" s="5"/>
      <c r="J53" s="36"/>
    </row>
    <row r="54" spans="1:10" ht="28.5" customHeight="1">
      <c r="A54" s="37" t="s">
        <v>28</v>
      </c>
      <c r="B54" s="6"/>
      <c r="C54" s="7" t="s">
        <v>29</v>
      </c>
      <c r="D54" s="98" t="s">
        <v>0</v>
      </c>
      <c r="E54" s="62">
        <v>1.85</v>
      </c>
      <c r="F54" s="62">
        <v>0.11</v>
      </c>
      <c r="G54" s="62">
        <v>1.96</v>
      </c>
      <c r="H54" s="8">
        <f t="shared" ref="H54:H55" si="4">G54*1.2293</f>
        <v>2.4094280000000001</v>
      </c>
      <c r="I54" s="74">
        <f>I11</f>
        <v>12685.44</v>
      </c>
      <c r="J54" s="38">
        <f>H54*I54</f>
        <v>30564.654328320004</v>
      </c>
    </row>
    <row r="55" spans="1:10" ht="14.25" customHeight="1">
      <c r="A55" s="61" t="s">
        <v>75</v>
      </c>
      <c r="B55" s="64"/>
      <c r="C55" s="61" t="s">
        <v>76</v>
      </c>
      <c r="D55" s="63" t="s">
        <v>11</v>
      </c>
      <c r="E55" s="62">
        <v>6.62</v>
      </c>
      <c r="F55" s="62">
        <v>0.09</v>
      </c>
      <c r="G55" s="62">
        <v>6.71</v>
      </c>
      <c r="H55" s="8">
        <f t="shared" si="4"/>
        <v>8.248603000000001</v>
      </c>
      <c r="I55" s="74">
        <f>0.4*I54</f>
        <v>5074.1760000000004</v>
      </c>
      <c r="J55" s="38">
        <f t="shared" ref="J55" si="5">H55*I55</f>
        <v>41854.863376128007</v>
      </c>
    </row>
    <row r="56" spans="1:10">
      <c r="A56" s="65" t="s">
        <v>128</v>
      </c>
      <c r="B56" s="2" t="s">
        <v>30</v>
      </c>
      <c r="C56" s="3"/>
      <c r="D56" s="4"/>
      <c r="E56" s="5"/>
      <c r="F56" s="5"/>
      <c r="G56" s="5"/>
      <c r="H56" s="5"/>
      <c r="I56" s="5"/>
      <c r="J56" s="36"/>
    </row>
    <row r="57" spans="1:10" ht="24" customHeight="1">
      <c r="A57" s="37" t="s">
        <v>31</v>
      </c>
      <c r="B57" s="6"/>
      <c r="C57" s="7" t="s">
        <v>32</v>
      </c>
      <c r="D57" s="98" t="s">
        <v>11</v>
      </c>
      <c r="E57" s="62">
        <v>831.7</v>
      </c>
      <c r="F57" s="62">
        <v>11.25</v>
      </c>
      <c r="G57" s="62">
        <v>842.95</v>
      </c>
      <c r="H57" s="8">
        <f t="shared" ref="H57:H59" si="6">G57*1.2293</f>
        <v>1036.2384350000002</v>
      </c>
      <c r="I57" s="18">
        <f>I54*0.03</f>
        <v>380.56319999999999</v>
      </c>
      <c r="J57" s="49">
        <f>H57*I57</f>
        <v>394354.21478659206</v>
      </c>
    </row>
    <row r="58" spans="1:10">
      <c r="A58" s="99" t="s">
        <v>112</v>
      </c>
      <c r="B58" s="100"/>
      <c r="C58" s="99" t="s">
        <v>113</v>
      </c>
      <c r="D58" s="101" t="s">
        <v>0</v>
      </c>
      <c r="E58" s="102">
        <v>12.23</v>
      </c>
      <c r="F58" s="102">
        <v>0.08</v>
      </c>
      <c r="G58" s="102">
        <v>12.31</v>
      </c>
      <c r="H58" s="8">
        <f t="shared" si="6"/>
        <v>15.132683000000002</v>
      </c>
      <c r="I58" s="18">
        <v>12685.44</v>
      </c>
      <c r="J58" s="49">
        <f>I58*H58</f>
        <v>191964.74223552004</v>
      </c>
    </row>
    <row r="59" spans="1:10">
      <c r="A59" s="37" t="s">
        <v>33</v>
      </c>
      <c r="B59" s="6"/>
      <c r="C59" s="7" t="s">
        <v>34</v>
      </c>
      <c r="D59" s="98" t="s">
        <v>0</v>
      </c>
      <c r="E59" s="62">
        <v>5.23</v>
      </c>
      <c r="F59" s="62">
        <v>0.06</v>
      </c>
      <c r="G59" s="62">
        <v>5.29</v>
      </c>
      <c r="H59" s="8">
        <f t="shared" si="6"/>
        <v>6.5029970000000006</v>
      </c>
      <c r="I59" s="18">
        <f>I54</f>
        <v>12685.44</v>
      </c>
      <c r="J59" s="49">
        <f>H59*I59</f>
        <v>82493.378263680017</v>
      </c>
    </row>
    <row r="60" spans="1:10">
      <c r="A60" s="65" t="s">
        <v>129</v>
      </c>
      <c r="B60" s="2" t="s">
        <v>35</v>
      </c>
      <c r="C60" s="3"/>
      <c r="D60" s="4"/>
      <c r="E60" s="5"/>
      <c r="F60" s="5"/>
      <c r="G60" s="5"/>
      <c r="H60" s="5"/>
      <c r="I60" s="5"/>
      <c r="J60" s="36"/>
    </row>
    <row r="61" spans="1:10" ht="12.95" customHeight="1">
      <c r="A61" s="99" t="s">
        <v>114</v>
      </c>
      <c r="B61" s="100"/>
      <c r="C61" s="99" t="s">
        <v>115</v>
      </c>
      <c r="D61" s="101" t="s">
        <v>11</v>
      </c>
      <c r="E61" s="102">
        <v>878.82</v>
      </c>
      <c r="F61" s="102"/>
      <c r="G61" s="102">
        <f>E61+F61</f>
        <v>878.82</v>
      </c>
      <c r="H61" s="8">
        <f t="shared" ref="H61" si="7">G61*1.2293</f>
        <v>1080.3334260000001</v>
      </c>
      <c r="I61" s="18">
        <f>0.1*0.55*2699.84</f>
        <v>148.49120000000002</v>
      </c>
      <c r="J61" s="38">
        <f>H61*I61</f>
        <v>160420.00682685126</v>
      </c>
    </row>
    <row r="62" spans="1:10">
      <c r="A62" s="138"/>
      <c r="B62" s="139"/>
      <c r="C62" s="139"/>
      <c r="D62" s="139"/>
      <c r="E62" s="139"/>
      <c r="F62" s="139"/>
      <c r="G62" s="140"/>
      <c r="H62" s="53"/>
      <c r="I62" s="55" t="s">
        <v>44</v>
      </c>
      <c r="J62" s="56">
        <f>SUM(J54:J61)</f>
        <v>901651.85981709138</v>
      </c>
    </row>
    <row r="63" spans="1:10" ht="13.5" customHeight="1">
      <c r="A63" s="65">
        <v>8</v>
      </c>
      <c r="B63" s="20" t="s">
        <v>39</v>
      </c>
      <c r="C63" s="21"/>
      <c r="D63" s="22"/>
      <c r="E63" s="22"/>
      <c r="F63" s="22"/>
      <c r="G63" s="23"/>
      <c r="H63" s="23"/>
      <c r="I63" s="22"/>
      <c r="J63" s="34"/>
    </row>
    <row r="64" spans="1:10">
      <c r="A64" s="35" t="s">
        <v>130</v>
      </c>
      <c r="B64" s="2" t="s">
        <v>36</v>
      </c>
      <c r="C64" s="3"/>
      <c r="D64" s="4"/>
      <c r="E64" s="5"/>
      <c r="F64" s="5"/>
      <c r="G64" s="19"/>
      <c r="H64" s="19"/>
      <c r="I64" s="5"/>
      <c r="J64" s="36"/>
    </row>
    <row r="65" spans="1:10" ht="14.25" customHeight="1">
      <c r="A65" s="37" t="s">
        <v>37</v>
      </c>
      <c r="B65" s="6"/>
      <c r="C65" s="7" t="s">
        <v>38</v>
      </c>
      <c r="D65" s="98" t="s">
        <v>0</v>
      </c>
      <c r="E65" s="62">
        <v>22.29</v>
      </c>
      <c r="F65" s="62">
        <v>0</v>
      </c>
      <c r="G65" s="62">
        <v>22.29</v>
      </c>
      <c r="H65" s="8">
        <f t="shared" ref="H65" si="8">G65*1.2293</f>
        <v>27.401097</v>
      </c>
      <c r="I65" s="18">
        <f xml:space="preserve"> 16*13</f>
        <v>208</v>
      </c>
      <c r="J65" s="38">
        <f>H65*I65</f>
        <v>5699.4281760000003</v>
      </c>
    </row>
    <row r="66" spans="1:10" ht="15.75" thickBot="1">
      <c r="A66" s="131"/>
      <c r="B66" s="132"/>
      <c r="C66" s="132"/>
      <c r="D66" s="132"/>
      <c r="E66" s="132"/>
      <c r="F66" s="132"/>
      <c r="G66" s="133"/>
      <c r="H66" s="50"/>
      <c r="I66" s="58" t="s">
        <v>44</v>
      </c>
      <c r="J66" s="59">
        <f>SUM(J65)</f>
        <v>5699.4281760000003</v>
      </c>
    </row>
    <row r="67" spans="1:10" ht="18" customHeight="1" thickBot="1">
      <c r="G67" s="125" t="s">
        <v>45</v>
      </c>
      <c r="H67" s="126"/>
      <c r="I67" s="127"/>
      <c r="J67" s="39">
        <f>J65+J62+J51+J43+J37+J33+J20+J16+J12</f>
        <v>1433888.1528797876</v>
      </c>
    </row>
    <row r="68" spans="1:10" ht="36" customHeight="1">
      <c r="C68" s="26"/>
    </row>
    <row r="69" spans="1:10" ht="63.75" customHeight="1"/>
    <row r="70" spans="1:10">
      <c r="C70" s="45"/>
      <c r="G70" s="104"/>
      <c r="H70" s="104"/>
      <c r="I70" s="104"/>
    </row>
    <row r="71" spans="1:10">
      <c r="C71" s="45"/>
      <c r="G71" s="104"/>
      <c r="H71" s="104"/>
      <c r="I71" s="104"/>
    </row>
  </sheetData>
  <mergeCells count="17">
    <mergeCell ref="A16:G16"/>
    <mergeCell ref="G70:I70"/>
    <mergeCell ref="G71:I71"/>
    <mergeCell ref="A1:J1"/>
    <mergeCell ref="A2:J2"/>
    <mergeCell ref="A3:J3"/>
    <mergeCell ref="A4:J4"/>
    <mergeCell ref="A5:J5"/>
    <mergeCell ref="A6:B6"/>
    <mergeCell ref="D6:F6"/>
    <mergeCell ref="I6:J6"/>
    <mergeCell ref="G67:I67"/>
    <mergeCell ref="A7:J7"/>
    <mergeCell ref="A66:G66"/>
    <mergeCell ref="A43:G43"/>
    <mergeCell ref="A51:G51"/>
    <mergeCell ref="A62:G62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topLeftCell="B1" workbookViewId="0">
      <selection activeCell="A23" sqref="A23:A24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43" t="s">
        <v>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>
      <c r="A2" s="145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>
      <c r="A3" s="147" t="s">
        <v>42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>
      <c r="A4" s="162" t="s">
        <v>54</v>
      </c>
      <c r="B4" s="163"/>
      <c r="C4" s="163"/>
      <c r="D4" s="10"/>
      <c r="E4" s="10"/>
      <c r="F4" s="10"/>
      <c r="G4" s="10"/>
      <c r="H4" s="160" t="s">
        <v>47</v>
      </c>
      <c r="I4" s="161"/>
      <c r="J4" s="161"/>
      <c r="K4" s="161"/>
      <c r="L4" s="161"/>
      <c r="M4" s="161"/>
      <c r="N4" s="161"/>
      <c r="O4" s="161"/>
    </row>
    <row r="5" spans="1:15">
      <c r="A5" s="162"/>
      <c r="B5" s="163"/>
      <c r="C5" s="163"/>
      <c r="D5" s="14" t="s">
        <v>48</v>
      </c>
      <c r="E5" s="15" t="s">
        <v>49</v>
      </c>
      <c r="F5" s="15" t="s">
        <v>50</v>
      </c>
      <c r="G5" s="15" t="s">
        <v>55</v>
      </c>
      <c r="H5" s="16">
        <v>1</v>
      </c>
      <c r="I5" s="16">
        <f>H5+1</f>
        <v>2</v>
      </c>
      <c r="J5" s="16">
        <f t="shared" ref="J5:O5" si="0">I5+1</f>
        <v>3</v>
      </c>
      <c r="K5" s="16">
        <f t="shared" si="0"/>
        <v>4</v>
      </c>
      <c r="L5" s="16">
        <f t="shared" si="0"/>
        <v>5</v>
      </c>
      <c r="M5" s="16">
        <f t="shared" si="0"/>
        <v>6</v>
      </c>
      <c r="N5" s="16">
        <f t="shared" si="0"/>
        <v>7</v>
      </c>
      <c r="O5" s="16">
        <f t="shared" si="0"/>
        <v>8</v>
      </c>
    </row>
    <row r="6" spans="1:15" ht="39.75" customHeight="1">
      <c r="A6" s="149" t="s">
        <v>110</v>
      </c>
      <c r="B6" s="150"/>
      <c r="C6" s="150"/>
      <c r="D6" s="31">
        <v>8</v>
      </c>
      <c r="E6" s="31">
        <v>1</v>
      </c>
      <c r="F6" s="32">
        <v>8</v>
      </c>
      <c r="G6" s="33"/>
      <c r="H6" s="17">
        <f t="shared" ref="H6:O7" si="1">IF(AND($E6&lt;=H$5,$F6&gt;=H$5)=TRUE,1,0)</f>
        <v>1</v>
      </c>
      <c r="I6" s="17">
        <f t="shared" si="1"/>
        <v>1</v>
      </c>
      <c r="J6" s="17">
        <f t="shared" si="1"/>
        <v>1</v>
      </c>
      <c r="K6" s="17">
        <f t="shared" si="1"/>
        <v>1</v>
      </c>
      <c r="L6" s="17">
        <f t="shared" si="1"/>
        <v>1</v>
      </c>
      <c r="M6" s="17">
        <f t="shared" si="1"/>
        <v>1</v>
      </c>
      <c r="N6" s="17">
        <f t="shared" si="1"/>
        <v>1</v>
      </c>
      <c r="O6" s="17">
        <f t="shared" si="1"/>
        <v>1</v>
      </c>
    </row>
    <row r="7" spans="1:15">
      <c r="A7" s="151" t="s">
        <v>51</v>
      </c>
      <c r="B7" s="151"/>
      <c r="C7" s="152"/>
      <c r="D7" s="155">
        <v>8</v>
      </c>
      <c r="E7" s="157">
        <f>MIN(E11:E26)</f>
        <v>1</v>
      </c>
      <c r="F7" s="157">
        <v>8</v>
      </c>
      <c r="G7" s="158"/>
      <c r="H7" s="11">
        <f t="shared" si="1"/>
        <v>1</v>
      </c>
      <c r="I7" s="11">
        <f t="shared" si="1"/>
        <v>1</v>
      </c>
      <c r="J7" s="11">
        <f t="shared" si="1"/>
        <v>1</v>
      </c>
      <c r="K7" s="11">
        <f t="shared" si="1"/>
        <v>1</v>
      </c>
      <c r="L7" s="11">
        <f t="shared" si="1"/>
        <v>1</v>
      </c>
      <c r="M7" s="11">
        <f t="shared" si="1"/>
        <v>1</v>
      </c>
      <c r="N7" s="11">
        <f t="shared" si="1"/>
        <v>1</v>
      </c>
      <c r="O7" s="11">
        <f t="shared" si="1"/>
        <v>1</v>
      </c>
    </row>
    <row r="8" spans="1:15">
      <c r="A8" s="153"/>
      <c r="B8" s="153"/>
      <c r="C8" s="154"/>
      <c r="D8" s="156"/>
      <c r="E8" s="156"/>
      <c r="F8" s="156"/>
      <c r="G8" s="159"/>
      <c r="H8" s="11"/>
      <c r="I8" s="11"/>
      <c r="J8" s="11"/>
      <c r="K8" s="11"/>
      <c r="L8" s="11"/>
      <c r="M8" s="11"/>
      <c r="N8" s="11"/>
      <c r="O8" s="11"/>
    </row>
    <row r="9" spans="1:15">
      <c r="A9" s="164">
        <v>1</v>
      </c>
      <c r="B9" s="171" t="str">
        <f>PPU!B9</f>
        <v>SERVIÇO TÉCNICO ESPECIALIZADO</v>
      </c>
      <c r="C9" s="166">
        <f>PPU!J12</f>
        <v>8264.9320377600015</v>
      </c>
      <c r="D9" s="168">
        <f>F9-E9+1</f>
        <v>1</v>
      </c>
      <c r="E9" s="170">
        <v>1</v>
      </c>
      <c r="F9" s="170">
        <v>1</v>
      </c>
      <c r="G9" s="12" t="s">
        <v>47</v>
      </c>
      <c r="H9" s="13">
        <f t="shared" ref="H9:O11" si="2">IF(IF(AND($E9&lt;=H$5,$F9&gt;=H$5)=TRUE,1,0)=1,$C9/$D9,0)</f>
        <v>8264.9320377600015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</row>
    <row r="10" spans="1:15">
      <c r="A10" s="165"/>
      <c r="B10" s="172"/>
      <c r="C10" s="167"/>
      <c r="D10" s="169"/>
      <c r="E10" s="169"/>
      <c r="F10" s="169"/>
      <c r="G10" s="12" t="s">
        <v>52</v>
      </c>
      <c r="H10" s="13">
        <f>IF(H9&gt;0,H9,0)</f>
        <v>8264.9320377600015</v>
      </c>
      <c r="I10" s="13">
        <f>IF(I9&gt;0,I9+H10,0)</f>
        <v>0</v>
      </c>
      <c r="J10" s="13">
        <f t="shared" ref="J10:O12" si="3">IF(J9&gt;0,J9+I10,0)</f>
        <v>0</v>
      </c>
      <c r="K10" s="13">
        <f t="shared" ref="K10" si="4">IF(K9&gt;0,K9+J10,0)</f>
        <v>0</v>
      </c>
      <c r="L10" s="13">
        <f t="shared" ref="L10" si="5">IF(L9&gt;0,L9+K10,0)</f>
        <v>0</v>
      </c>
      <c r="M10" s="13">
        <f t="shared" ref="M10" si="6">IF(M9&gt;0,M9+L10,0)</f>
        <v>0</v>
      </c>
      <c r="N10" s="13">
        <f t="shared" ref="N10" si="7">IF(N9&gt;0,N9+M10,0)</f>
        <v>0</v>
      </c>
      <c r="O10" s="13">
        <f t="shared" si="3"/>
        <v>0</v>
      </c>
    </row>
    <row r="11" spans="1:15">
      <c r="A11" s="164">
        <v>2</v>
      </c>
      <c r="B11" s="171" t="s">
        <v>86</v>
      </c>
      <c r="C11" s="166">
        <f>PPU!J16</f>
        <v>2896.6241760000003</v>
      </c>
      <c r="D11" s="168">
        <f t="shared" ref="D11" si="8">F11-E11+1</f>
        <v>1</v>
      </c>
      <c r="E11" s="170">
        <v>1</v>
      </c>
      <c r="F11" s="170">
        <v>1</v>
      </c>
      <c r="G11" s="12" t="s">
        <v>47</v>
      </c>
      <c r="H11" s="13">
        <f t="shared" si="2"/>
        <v>2896.6241760000003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</row>
    <row r="12" spans="1:15">
      <c r="A12" s="165"/>
      <c r="B12" s="172"/>
      <c r="C12" s="167"/>
      <c r="D12" s="169"/>
      <c r="E12" s="169"/>
      <c r="F12" s="169"/>
      <c r="G12" s="12" t="s">
        <v>52</v>
      </c>
      <c r="H12" s="13">
        <f>IF(H11&gt;0,H11,0)</f>
        <v>2896.6241760000003</v>
      </c>
      <c r="I12" s="13">
        <f>IF(I11&gt;0,I11+H12,0)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</row>
    <row r="13" spans="1:15">
      <c r="A13" s="164">
        <v>3</v>
      </c>
      <c r="B13" s="171" t="s">
        <v>131</v>
      </c>
      <c r="C13" s="166">
        <v>14596.18</v>
      </c>
      <c r="D13" s="168">
        <f t="shared" ref="D13" si="9">F13-E13+1</f>
        <v>4</v>
      </c>
      <c r="E13" s="170">
        <v>1</v>
      </c>
      <c r="F13" s="170">
        <v>4</v>
      </c>
      <c r="G13" s="12" t="s">
        <v>47</v>
      </c>
      <c r="H13" s="13">
        <f t="shared" ref="H13:O13" si="10">IF(IF(AND($E13&lt;=H$5,$F13&gt;=H$5)=TRUE,1,0)=1,$C13/$D13,0)</f>
        <v>3649.0450000000001</v>
      </c>
      <c r="I13" s="13">
        <f t="shared" si="10"/>
        <v>3649.0450000000001</v>
      </c>
      <c r="J13" s="13">
        <f t="shared" si="10"/>
        <v>3649.0450000000001</v>
      </c>
      <c r="K13" s="13">
        <f t="shared" si="10"/>
        <v>3649.0450000000001</v>
      </c>
      <c r="L13" s="13">
        <f t="shared" si="10"/>
        <v>0</v>
      </c>
      <c r="M13" s="13">
        <f t="shared" si="10"/>
        <v>0</v>
      </c>
      <c r="N13" s="13">
        <f t="shared" si="10"/>
        <v>0</v>
      </c>
      <c r="O13" s="13">
        <f t="shared" si="10"/>
        <v>0</v>
      </c>
    </row>
    <row r="14" spans="1:15">
      <c r="A14" s="165"/>
      <c r="B14" s="172"/>
      <c r="C14" s="167"/>
      <c r="D14" s="169"/>
      <c r="E14" s="169"/>
      <c r="F14" s="169"/>
      <c r="G14" s="12" t="s">
        <v>52</v>
      </c>
      <c r="H14" s="13">
        <f>IF(H13&gt;0,H13,0)</f>
        <v>3649.0450000000001</v>
      </c>
      <c r="I14" s="13">
        <f>IF(I13&gt;0,I13+H14,0)</f>
        <v>7298.09</v>
      </c>
      <c r="J14" s="13">
        <f t="shared" ref="J14:O14" si="11">IF(J13&gt;0,J13+I14,0)</f>
        <v>10947.135</v>
      </c>
      <c r="K14" s="13">
        <f t="shared" si="11"/>
        <v>14596.18</v>
      </c>
      <c r="L14" s="13">
        <f t="shared" si="11"/>
        <v>0</v>
      </c>
      <c r="M14" s="13">
        <f t="shared" si="11"/>
        <v>0</v>
      </c>
      <c r="N14" s="13">
        <f t="shared" si="11"/>
        <v>0</v>
      </c>
      <c r="O14" s="13">
        <f t="shared" si="11"/>
        <v>0</v>
      </c>
    </row>
    <row r="15" spans="1:15">
      <c r="A15" s="164">
        <v>4</v>
      </c>
      <c r="B15" s="171" t="s">
        <v>132</v>
      </c>
      <c r="C15" s="166">
        <v>116178.44</v>
      </c>
      <c r="D15" s="168">
        <f>F15-E15+1</f>
        <v>4</v>
      </c>
      <c r="E15" s="170">
        <v>2</v>
      </c>
      <c r="F15" s="170">
        <v>5</v>
      </c>
      <c r="G15" s="12" t="s">
        <v>47</v>
      </c>
      <c r="H15" s="13">
        <f t="shared" ref="H15:O15" si="12">IF(IF(AND($E15&lt;=H$5,$F15&gt;=H$5)=TRUE,1,0)=1,$C15/$D15,0)</f>
        <v>0</v>
      </c>
      <c r="I15" s="13">
        <f t="shared" si="12"/>
        <v>29044.61</v>
      </c>
      <c r="J15" s="13">
        <f t="shared" si="12"/>
        <v>29044.61</v>
      </c>
      <c r="K15" s="13">
        <f t="shared" si="12"/>
        <v>29044.61</v>
      </c>
      <c r="L15" s="13">
        <f t="shared" si="12"/>
        <v>29044.61</v>
      </c>
      <c r="M15" s="13">
        <f t="shared" si="12"/>
        <v>0</v>
      </c>
      <c r="N15" s="13">
        <f t="shared" si="12"/>
        <v>0</v>
      </c>
      <c r="O15" s="13">
        <f t="shared" si="12"/>
        <v>0</v>
      </c>
    </row>
    <row r="16" spans="1:15">
      <c r="A16" s="165"/>
      <c r="B16" s="172"/>
      <c r="C16" s="167"/>
      <c r="D16" s="169"/>
      <c r="E16" s="169"/>
      <c r="F16" s="169"/>
      <c r="G16" s="12" t="s">
        <v>52</v>
      </c>
      <c r="H16" s="13">
        <f>IF(H15&gt;0,H15,0)</f>
        <v>0</v>
      </c>
      <c r="I16" s="13">
        <f>IF(I15&gt;0,I15+H16,0)</f>
        <v>29044.61</v>
      </c>
      <c r="J16" s="13">
        <f t="shared" ref="J16:O16" si="13">IF(J15&gt;0,J15+I16,0)</f>
        <v>58089.22</v>
      </c>
      <c r="K16" s="13">
        <f t="shared" si="13"/>
        <v>87133.83</v>
      </c>
      <c r="L16" s="13">
        <f t="shared" si="13"/>
        <v>116178.44</v>
      </c>
      <c r="M16" s="13">
        <f t="shared" si="13"/>
        <v>0</v>
      </c>
      <c r="N16" s="13">
        <f t="shared" si="13"/>
        <v>0</v>
      </c>
      <c r="O16" s="13">
        <f t="shared" si="13"/>
        <v>0</v>
      </c>
    </row>
    <row r="17" spans="1:15">
      <c r="A17" s="173" t="s">
        <v>123</v>
      </c>
      <c r="B17" s="171" t="s">
        <v>105</v>
      </c>
      <c r="C17" s="166">
        <v>25412.1</v>
      </c>
      <c r="D17" s="168">
        <f>F17-E17+1</f>
        <v>4</v>
      </c>
      <c r="E17" s="174">
        <v>2</v>
      </c>
      <c r="F17" s="170">
        <v>5</v>
      </c>
      <c r="G17" s="12" t="s">
        <v>47</v>
      </c>
      <c r="H17" s="13">
        <f t="shared" ref="H17:O17" si="14">IF(IF(AND($E17&lt;=H$5,$F17&gt;=H$5)=TRUE,1,0)=1,$C17/$D17,0)</f>
        <v>0</v>
      </c>
      <c r="I17" s="13">
        <f t="shared" si="14"/>
        <v>6353.0249999999996</v>
      </c>
      <c r="J17" s="13">
        <f t="shared" si="14"/>
        <v>6353.0249999999996</v>
      </c>
      <c r="K17" s="13">
        <f t="shared" si="14"/>
        <v>6353.0249999999996</v>
      </c>
      <c r="L17" s="13">
        <f t="shared" si="14"/>
        <v>6353.0249999999996</v>
      </c>
      <c r="M17" s="13">
        <f t="shared" si="14"/>
        <v>0</v>
      </c>
      <c r="N17" s="13">
        <f t="shared" si="14"/>
        <v>0</v>
      </c>
      <c r="O17" s="13">
        <f t="shared" si="14"/>
        <v>0</v>
      </c>
    </row>
    <row r="18" spans="1:15">
      <c r="A18" s="169"/>
      <c r="B18" s="172"/>
      <c r="C18" s="167"/>
      <c r="D18" s="169"/>
      <c r="E18" s="175"/>
      <c r="F18" s="169"/>
      <c r="G18" s="12" t="s">
        <v>52</v>
      </c>
      <c r="H18" s="13">
        <f>IF(H17&gt;0,H17,0)</f>
        <v>0</v>
      </c>
      <c r="I18" s="13">
        <f>IF(I17&gt;0,I17+H18,0)</f>
        <v>6353.0249999999996</v>
      </c>
      <c r="J18" s="13">
        <f t="shared" ref="J18:O18" si="15">IF(J17&gt;0,J17+I18,0)</f>
        <v>12706.05</v>
      </c>
      <c r="K18" s="13">
        <f t="shared" si="15"/>
        <v>19059.074999999997</v>
      </c>
      <c r="L18" s="13">
        <f t="shared" si="15"/>
        <v>25412.1</v>
      </c>
      <c r="M18" s="13">
        <f t="shared" si="15"/>
        <v>0</v>
      </c>
      <c r="N18" s="13">
        <f t="shared" si="15"/>
        <v>0</v>
      </c>
      <c r="O18" s="13">
        <f t="shared" si="15"/>
        <v>0</v>
      </c>
    </row>
    <row r="19" spans="1:15">
      <c r="A19" s="173" t="s">
        <v>124</v>
      </c>
      <c r="B19" s="171" t="s">
        <v>133</v>
      </c>
      <c r="C19" s="166">
        <v>254605.6</v>
      </c>
      <c r="D19" s="168">
        <f>F19-E19+1</f>
        <v>6</v>
      </c>
      <c r="E19" s="174">
        <v>3</v>
      </c>
      <c r="F19" s="170">
        <v>8</v>
      </c>
      <c r="G19" s="12" t="s">
        <v>47</v>
      </c>
      <c r="H19" s="13">
        <f t="shared" ref="H19:O19" si="16">IF(IF(AND($E19&lt;=H$5,$F19&gt;=H$5)=TRUE,1,0)=1,$C19/$D19,0)</f>
        <v>0</v>
      </c>
      <c r="I19" s="13">
        <f t="shared" si="16"/>
        <v>0</v>
      </c>
      <c r="J19" s="13">
        <f t="shared" si="16"/>
        <v>42434.26666666667</v>
      </c>
      <c r="K19" s="13">
        <f t="shared" si="16"/>
        <v>42434.26666666667</v>
      </c>
      <c r="L19" s="13">
        <f t="shared" si="16"/>
        <v>42434.26666666667</v>
      </c>
      <c r="M19" s="13">
        <f t="shared" si="16"/>
        <v>42434.26666666667</v>
      </c>
      <c r="N19" s="13">
        <f t="shared" si="16"/>
        <v>42434.26666666667</v>
      </c>
      <c r="O19" s="13">
        <f t="shared" si="16"/>
        <v>42434.26666666667</v>
      </c>
    </row>
    <row r="20" spans="1:15">
      <c r="A20" s="169"/>
      <c r="B20" s="172"/>
      <c r="C20" s="167"/>
      <c r="D20" s="169"/>
      <c r="E20" s="175"/>
      <c r="F20" s="169"/>
      <c r="G20" s="12" t="s">
        <v>52</v>
      </c>
      <c r="H20" s="13">
        <f>IF(H19&gt;0,H19,0)</f>
        <v>0</v>
      </c>
      <c r="I20" s="13">
        <f>IF(I19&gt;0,I19+H20,0)</f>
        <v>0</v>
      </c>
      <c r="J20" s="13">
        <f t="shared" ref="J20:O20" si="17">IF(J19&gt;0,J19+I20,0)</f>
        <v>42434.26666666667</v>
      </c>
      <c r="K20" s="13">
        <f t="shared" si="17"/>
        <v>84868.53333333334</v>
      </c>
      <c r="L20" s="13">
        <f t="shared" si="17"/>
        <v>127302.80000000002</v>
      </c>
      <c r="M20" s="13">
        <f t="shared" si="17"/>
        <v>169737.06666666668</v>
      </c>
      <c r="N20" s="13">
        <f t="shared" si="17"/>
        <v>212171.33333333334</v>
      </c>
      <c r="O20" s="13">
        <f t="shared" si="17"/>
        <v>254605.6</v>
      </c>
    </row>
    <row r="21" spans="1:15">
      <c r="A21" s="169">
        <v>6</v>
      </c>
      <c r="B21" s="171" t="s">
        <v>134</v>
      </c>
      <c r="C21" s="166">
        <v>104582.99</v>
      </c>
      <c r="D21" s="168">
        <f>F21-E21+1</f>
        <v>6</v>
      </c>
      <c r="E21" s="174">
        <v>3</v>
      </c>
      <c r="F21" s="170">
        <v>8</v>
      </c>
      <c r="G21" s="12" t="s">
        <v>47</v>
      </c>
      <c r="H21" s="13">
        <f t="shared" ref="H21:O23" si="18">IF(IF(AND($E21&lt;=H$5,$F21&gt;=H$5)=TRUE,1,0)=1,$C21/$D21,0)</f>
        <v>0</v>
      </c>
      <c r="I21" s="13">
        <f t="shared" si="18"/>
        <v>0</v>
      </c>
      <c r="J21" s="13">
        <f t="shared" si="18"/>
        <v>17430.498333333333</v>
      </c>
      <c r="K21" s="13">
        <f t="shared" si="18"/>
        <v>17430.498333333333</v>
      </c>
      <c r="L21" s="13">
        <f t="shared" si="18"/>
        <v>17430.498333333333</v>
      </c>
      <c r="M21" s="13">
        <f t="shared" si="18"/>
        <v>17430.498333333333</v>
      </c>
      <c r="N21" s="13">
        <f t="shared" si="18"/>
        <v>17430.498333333333</v>
      </c>
      <c r="O21" s="13">
        <f t="shared" si="18"/>
        <v>17430.498333333333</v>
      </c>
    </row>
    <row r="22" spans="1:15">
      <c r="A22" s="169"/>
      <c r="B22" s="172"/>
      <c r="C22" s="167"/>
      <c r="D22" s="169"/>
      <c r="E22" s="175"/>
      <c r="F22" s="169"/>
      <c r="G22" s="12" t="s">
        <v>52</v>
      </c>
      <c r="H22" s="13">
        <f>IF(H21&gt;0,H21,0)</f>
        <v>0</v>
      </c>
      <c r="I22" s="13">
        <f>IF(I21&gt;0,I21+H22,0)</f>
        <v>0</v>
      </c>
      <c r="J22" s="13">
        <f t="shared" ref="J22" si="19">IF(J21&gt;0,J21+I22,0)</f>
        <v>17430.498333333333</v>
      </c>
      <c r="K22" s="13">
        <f t="shared" ref="K22" si="20">IF(K21&gt;0,K21+J22,0)</f>
        <v>34860.996666666666</v>
      </c>
      <c r="L22" s="13">
        <f t="shared" ref="L22" si="21">IF(L21&gt;0,L21+K22,0)</f>
        <v>52291.494999999995</v>
      </c>
      <c r="M22" s="13">
        <f t="shared" ref="M22" si="22">IF(M21&gt;0,M21+L22,0)</f>
        <v>69721.993333333332</v>
      </c>
      <c r="N22" s="13">
        <f t="shared" ref="N22" si="23">IF(N21&gt;0,N21+M22,0)</f>
        <v>87152.491666666669</v>
      </c>
      <c r="O22" s="13">
        <f t="shared" ref="O22" si="24">IF(O21&gt;0,O21+N22,0)</f>
        <v>104582.99</v>
      </c>
    </row>
    <row r="23" spans="1:15">
      <c r="A23" s="169">
        <v>7</v>
      </c>
      <c r="B23" s="171" t="s">
        <v>26</v>
      </c>
      <c r="C23" s="166">
        <v>901651.86</v>
      </c>
      <c r="D23" s="168">
        <f>F23-E23+1</f>
        <v>6</v>
      </c>
      <c r="E23" s="174">
        <v>3</v>
      </c>
      <c r="F23" s="170">
        <v>8</v>
      </c>
      <c r="G23" s="12" t="s">
        <v>47</v>
      </c>
      <c r="H23" s="13">
        <f t="shared" si="18"/>
        <v>0</v>
      </c>
      <c r="I23" s="13">
        <f t="shared" si="18"/>
        <v>0</v>
      </c>
      <c r="J23" s="13">
        <f t="shared" si="18"/>
        <v>150275.31</v>
      </c>
      <c r="K23" s="13">
        <f t="shared" si="18"/>
        <v>150275.31</v>
      </c>
      <c r="L23" s="13">
        <f t="shared" si="18"/>
        <v>150275.31</v>
      </c>
      <c r="M23" s="13">
        <f t="shared" si="18"/>
        <v>150275.31</v>
      </c>
      <c r="N23" s="13">
        <f t="shared" si="18"/>
        <v>150275.31</v>
      </c>
      <c r="O23" s="13">
        <f t="shared" si="18"/>
        <v>150275.31</v>
      </c>
    </row>
    <row r="24" spans="1:15">
      <c r="A24" s="169"/>
      <c r="B24" s="172"/>
      <c r="C24" s="167"/>
      <c r="D24" s="169"/>
      <c r="E24" s="175"/>
      <c r="F24" s="169"/>
      <c r="G24" s="12" t="s">
        <v>52</v>
      </c>
      <c r="H24" s="13">
        <f>IF(H23&gt;0,H23,0)</f>
        <v>0</v>
      </c>
      <c r="I24" s="13">
        <f>IF(I23&gt;0,I23+H24,0)</f>
        <v>0</v>
      </c>
      <c r="J24" s="13">
        <f t="shared" ref="J24:O24" si="25">IF(J23&gt;0,J23+I24,0)</f>
        <v>150275.31</v>
      </c>
      <c r="K24" s="13">
        <f t="shared" si="25"/>
        <v>300550.62</v>
      </c>
      <c r="L24" s="13">
        <f t="shared" si="25"/>
        <v>450825.93</v>
      </c>
      <c r="M24" s="13">
        <f t="shared" si="25"/>
        <v>601101.24</v>
      </c>
      <c r="N24" s="13">
        <f t="shared" si="25"/>
        <v>751376.55</v>
      </c>
      <c r="O24" s="13">
        <f t="shared" si="25"/>
        <v>901651.8600000001</v>
      </c>
    </row>
    <row r="25" spans="1:15">
      <c r="A25" s="169">
        <v>8</v>
      </c>
      <c r="B25" s="171" t="s">
        <v>87</v>
      </c>
      <c r="C25" s="166">
        <f>PPU!J66</f>
        <v>5699.4281760000003</v>
      </c>
      <c r="D25" s="168">
        <f>F25-E25+1</f>
        <v>3</v>
      </c>
      <c r="E25" s="174">
        <v>6</v>
      </c>
      <c r="F25" s="170">
        <v>8</v>
      </c>
      <c r="G25" s="12" t="s">
        <v>47</v>
      </c>
      <c r="H25" s="13">
        <f t="shared" ref="H25:O25" si="26">IF(IF(AND($E25&lt;=H$5,$F25&gt;=H$5)=TRUE,1,0)=1,$C25/$D25,0)</f>
        <v>0</v>
      </c>
      <c r="I25" s="13">
        <f t="shared" si="26"/>
        <v>0</v>
      </c>
      <c r="J25" s="13">
        <f t="shared" si="26"/>
        <v>0</v>
      </c>
      <c r="K25" s="13">
        <f t="shared" si="26"/>
        <v>0</v>
      </c>
      <c r="L25" s="13">
        <f t="shared" si="26"/>
        <v>0</v>
      </c>
      <c r="M25" s="13">
        <f t="shared" si="26"/>
        <v>1899.8093920000001</v>
      </c>
      <c r="N25" s="13">
        <f t="shared" si="26"/>
        <v>1899.8093920000001</v>
      </c>
      <c r="O25" s="13">
        <f t="shared" si="26"/>
        <v>1899.8093920000001</v>
      </c>
    </row>
    <row r="26" spans="1:15">
      <c r="A26" s="169"/>
      <c r="B26" s="172"/>
      <c r="C26" s="167"/>
      <c r="D26" s="169"/>
      <c r="E26" s="175"/>
      <c r="F26" s="169"/>
      <c r="G26" s="12" t="s">
        <v>52</v>
      </c>
      <c r="H26" s="13">
        <f>IF(H25&gt;0,H25,0)</f>
        <v>0</v>
      </c>
      <c r="I26" s="13">
        <f>IF(I25&gt;0,I25+H26,0)</f>
        <v>0</v>
      </c>
      <c r="J26" s="13">
        <f t="shared" ref="J26:O26" si="27">IF(J25&gt;0,J25+I26,0)</f>
        <v>0</v>
      </c>
      <c r="K26" s="13">
        <f t="shared" si="27"/>
        <v>0</v>
      </c>
      <c r="L26" s="13">
        <f t="shared" si="27"/>
        <v>0</v>
      </c>
      <c r="M26" s="13">
        <f t="shared" si="27"/>
        <v>1899.8093920000001</v>
      </c>
      <c r="N26" s="13">
        <f t="shared" si="27"/>
        <v>3799.6187840000002</v>
      </c>
      <c r="O26" s="13">
        <f t="shared" si="27"/>
        <v>5699.4281760000003</v>
      </c>
    </row>
    <row r="27" spans="1:15">
      <c r="A27" s="28"/>
      <c r="B27" s="176" t="s">
        <v>53</v>
      </c>
      <c r="C27" s="178">
        <f>SUM(C9:C26)</f>
        <v>1433888.15438976</v>
      </c>
      <c r="D27" s="180">
        <f t="shared" ref="D27" si="28">F27-E27+1</f>
        <v>8</v>
      </c>
      <c r="E27" s="182">
        <v>1</v>
      </c>
      <c r="F27" s="182">
        <v>8</v>
      </c>
      <c r="G27" s="27" t="s">
        <v>47</v>
      </c>
      <c r="H27" s="30">
        <f>H9+H11+H13+H15+H17+H19+H23+H25</f>
        <v>14810.601213760003</v>
      </c>
      <c r="I27" s="30">
        <f t="shared" ref="I27" si="29">I11+I13+I15+I17+I19+I23+I25</f>
        <v>39046.68</v>
      </c>
      <c r="J27" s="30">
        <f>J13+J15+J17+J19+J21+J23+J25</f>
        <v>249186.755</v>
      </c>
      <c r="K27" s="30">
        <f>K13+K15+K17+K19+K21+K23+K25</f>
        <v>249186.755</v>
      </c>
      <c r="L27" s="30">
        <f>L11+L13+L15+L17+L19+L21+L23+L25</f>
        <v>245537.71000000002</v>
      </c>
      <c r="M27" s="30">
        <f>M11+M13+M15+M17+M19+M21+M23+M25</f>
        <v>212039.88439200001</v>
      </c>
      <c r="N27" s="30">
        <f>N11+N13+N15+N17+N19+N21+N23+N25</f>
        <v>212039.88439200001</v>
      </c>
      <c r="O27" s="30">
        <f>O11+O13+O15+O17+O19+O21+O23+O25</f>
        <v>212039.88439200001</v>
      </c>
    </row>
    <row r="28" spans="1:15">
      <c r="A28" s="29"/>
      <c r="B28" s="177"/>
      <c r="C28" s="179"/>
      <c r="D28" s="181"/>
      <c r="E28" s="182"/>
      <c r="F28" s="182"/>
      <c r="G28" s="27" t="s">
        <v>52</v>
      </c>
      <c r="H28" s="30">
        <f>H27</f>
        <v>14810.601213760003</v>
      </c>
      <c r="I28" s="30">
        <f>H28+I27</f>
        <v>53857.281213760005</v>
      </c>
      <c r="J28" s="30">
        <f t="shared" ref="J28:M28" si="30">I28+J27</f>
        <v>303044.03621376003</v>
      </c>
      <c r="K28" s="30">
        <f t="shared" si="30"/>
        <v>552230.79121376004</v>
      </c>
      <c r="L28" s="30">
        <f t="shared" si="30"/>
        <v>797768.50121376012</v>
      </c>
      <c r="M28" s="30">
        <f t="shared" si="30"/>
        <v>1009808.3856057602</v>
      </c>
      <c r="N28" s="30">
        <f t="shared" ref="N28" si="31">M28+N27</f>
        <v>1221848.2699977602</v>
      </c>
      <c r="O28" s="30">
        <f t="shared" ref="O28" si="32">N28+O27</f>
        <v>1433888.1543897602</v>
      </c>
    </row>
  </sheetData>
  <mergeCells count="70">
    <mergeCell ref="F21:F22"/>
    <mergeCell ref="A21:A22"/>
    <mergeCell ref="B21:B22"/>
    <mergeCell ref="C21:C22"/>
    <mergeCell ref="D21:D22"/>
    <mergeCell ref="E21:E22"/>
    <mergeCell ref="F9:F10"/>
    <mergeCell ref="A9:A10"/>
    <mergeCell ref="B9:B10"/>
    <mergeCell ref="C9:C10"/>
    <mergeCell ref="D9:D10"/>
    <mergeCell ref="E9:E10"/>
    <mergeCell ref="B27:B28"/>
    <mergeCell ref="C27:C28"/>
    <mergeCell ref="D27:D28"/>
    <mergeCell ref="E27:E28"/>
    <mergeCell ref="F27:F28"/>
    <mergeCell ref="F25:F26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B23:B24"/>
    <mergeCell ref="B25:B26"/>
    <mergeCell ref="F19:F20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B17:B18"/>
    <mergeCell ref="B19:B20"/>
    <mergeCell ref="A15:A16"/>
    <mergeCell ref="C15:C16"/>
    <mergeCell ref="D15:D16"/>
    <mergeCell ref="E15:E16"/>
    <mergeCell ref="F15:F16"/>
    <mergeCell ref="B15:B16"/>
    <mergeCell ref="A11:A12"/>
    <mergeCell ref="C13:C14"/>
    <mergeCell ref="D13:D14"/>
    <mergeCell ref="E13:E14"/>
    <mergeCell ref="F13:F14"/>
    <mergeCell ref="A13:A14"/>
    <mergeCell ref="B13:B14"/>
    <mergeCell ref="B11:B12"/>
    <mergeCell ref="C11:C12"/>
    <mergeCell ref="D11:D12"/>
    <mergeCell ref="E11:E12"/>
    <mergeCell ref="F11:F12"/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</mergeCells>
  <conditionalFormatting sqref="H6:O8">
    <cfRule type="cellIs" dxfId="3" priority="4" operator="equal">
      <formula>1</formula>
    </cfRule>
  </conditionalFormatting>
  <conditionalFormatting sqref="H6:O6">
    <cfRule type="cellIs" dxfId="2" priority="3" operator="equal">
      <formula>1</formula>
    </cfRule>
  </conditionalFormatting>
  <conditionalFormatting sqref="H7:O8">
    <cfRule type="cellIs" dxfId="1" priority="2" operator="equal">
      <formula>1</formula>
    </cfRule>
  </conditionalFormatting>
  <conditionalFormatting sqref="H9:O26">
    <cfRule type="cellIs" dxfId="0" priority="1" operator="notEqual">
      <formula>0</formula>
    </cfRule>
  </conditionalFormatting>
  <pageMargins left="0.25" right="0.25" top="0.75" bottom="0.75" header="0.3" footer="0.3"/>
  <pageSetup paperSize="9" scale="7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PPU</vt:lpstr>
      <vt:lpstr>CRONOGRAMA</vt:lpstr>
      <vt:lpstr>PPU!Area_de_impressao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Marcus Vinicius</cp:lastModifiedBy>
  <cp:lastPrinted>2020-04-16T10:59:27Z</cp:lastPrinted>
  <dcterms:created xsi:type="dcterms:W3CDTF">2018-04-06T14:41:31Z</dcterms:created>
  <dcterms:modified xsi:type="dcterms:W3CDTF">2020-04-16T12:12:46Z</dcterms:modified>
</cp:coreProperties>
</file>