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LICITAÇÕES DA PREFEITURA\2020\Convite\Convite nº 002-2020 - Escola Jardim Eldorado\"/>
    </mc:Choice>
  </mc:AlternateContent>
  <bookViews>
    <workbookView xWindow="0" yWindow="0" windowWidth="20490" windowHeight="7650"/>
  </bookViews>
  <sheets>
    <sheet name="Orçamento" sheetId="1" r:id="rId1"/>
    <sheet name="Cronograma Físico-Financeir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1" l="1"/>
  <c r="I74" i="1" l="1"/>
  <c r="I73" i="1"/>
  <c r="I201" i="1" l="1"/>
  <c r="I203" i="1" s="1"/>
  <c r="I195" i="1"/>
  <c r="I192" i="1"/>
  <c r="I190" i="1"/>
  <c r="I189" i="1"/>
  <c r="I187" i="1"/>
  <c r="I186" i="1"/>
  <c r="I180" i="1"/>
  <c r="I169" i="1"/>
  <c r="I164" i="1"/>
  <c r="I134" i="1"/>
  <c r="I128" i="1"/>
  <c r="I132" i="1"/>
  <c r="I80" i="1"/>
  <c r="I50" i="1"/>
  <c r="I68" i="1" s="1"/>
  <c r="I64" i="1"/>
  <c r="I62" i="1"/>
  <c r="I58" i="1"/>
  <c r="N35" i="2"/>
  <c r="N36" i="2" s="1"/>
  <c r="M35" i="2"/>
  <c r="M36" i="2" s="1"/>
  <c r="K35" i="2"/>
  <c r="K36" i="2" s="1"/>
  <c r="J35" i="2"/>
  <c r="J36" i="2" s="1"/>
  <c r="I35" i="2"/>
  <c r="I36" i="2" s="1"/>
  <c r="H35" i="2"/>
  <c r="H36" i="2" s="1"/>
  <c r="B35" i="2"/>
  <c r="D35" i="2"/>
  <c r="H84" i="1"/>
  <c r="J84" i="1" s="1"/>
  <c r="J85" i="1" s="1"/>
  <c r="C35" i="2" s="1"/>
  <c r="L35" i="2" s="1"/>
  <c r="L36" i="2" l="1"/>
  <c r="H95" i="1"/>
  <c r="J95" i="1" s="1"/>
  <c r="G223" i="1"/>
  <c r="I242" i="1"/>
  <c r="H242" i="1"/>
  <c r="J242" i="1" l="1"/>
  <c r="L87" i="2"/>
  <c r="L88" i="2" s="1"/>
  <c r="K87" i="2"/>
  <c r="K88" i="2" s="1"/>
  <c r="J87" i="2"/>
  <c r="J88" i="2" s="1"/>
  <c r="I87" i="2"/>
  <c r="I88" i="2" s="1"/>
  <c r="H87" i="2"/>
  <c r="H88" i="2" s="1"/>
  <c r="D87" i="2"/>
  <c r="N87" i="2" s="1"/>
  <c r="I85" i="2"/>
  <c r="I86" i="2" s="1"/>
  <c r="H85" i="2"/>
  <c r="H86" i="2" s="1"/>
  <c r="D85" i="2"/>
  <c r="N85" i="2" s="1"/>
  <c r="L83" i="2"/>
  <c r="L84" i="2" s="1"/>
  <c r="K83" i="2"/>
  <c r="K84" i="2" s="1"/>
  <c r="J83" i="2"/>
  <c r="J84" i="2" s="1"/>
  <c r="I83" i="2"/>
  <c r="I84" i="2" s="1"/>
  <c r="H83" i="2"/>
  <c r="H84" i="2" s="1"/>
  <c r="D83" i="2"/>
  <c r="N83" i="2" s="1"/>
  <c r="L81" i="2"/>
  <c r="L82" i="2" s="1"/>
  <c r="K81" i="2"/>
  <c r="K82" i="2" s="1"/>
  <c r="J81" i="2"/>
  <c r="J82" i="2" s="1"/>
  <c r="I81" i="2"/>
  <c r="I82" i="2" s="1"/>
  <c r="H81" i="2"/>
  <c r="H82" i="2" s="1"/>
  <c r="D81" i="2"/>
  <c r="L79" i="2"/>
  <c r="L80" i="2" s="1"/>
  <c r="K79" i="2"/>
  <c r="K80" i="2" s="1"/>
  <c r="J79" i="2"/>
  <c r="J80" i="2" s="1"/>
  <c r="I79" i="2"/>
  <c r="I80" i="2" s="1"/>
  <c r="H79" i="2"/>
  <c r="H80" i="2" s="1"/>
  <c r="D79" i="2"/>
  <c r="O79" i="2" s="1"/>
  <c r="L77" i="2"/>
  <c r="L78" i="2" s="1"/>
  <c r="K77" i="2"/>
  <c r="K78" i="2" s="1"/>
  <c r="J77" i="2"/>
  <c r="J78" i="2" s="1"/>
  <c r="I77" i="2"/>
  <c r="I78" i="2" s="1"/>
  <c r="H77" i="2"/>
  <c r="H78" i="2" s="1"/>
  <c r="D77" i="2"/>
  <c r="O77" i="2" s="1"/>
  <c r="K75" i="2"/>
  <c r="K76" i="2" s="1"/>
  <c r="J75" i="2"/>
  <c r="J76" i="2" s="1"/>
  <c r="I75" i="2"/>
  <c r="I76" i="2" s="1"/>
  <c r="H75" i="2"/>
  <c r="H76" i="2" s="1"/>
  <c r="D75" i="2"/>
  <c r="N75" i="2" s="1"/>
  <c r="J73" i="2"/>
  <c r="J74" i="2" s="1"/>
  <c r="I73" i="2"/>
  <c r="I74" i="2" s="1"/>
  <c r="H73" i="2"/>
  <c r="H74" i="2" s="1"/>
  <c r="D73" i="2"/>
  <c r="N73" i="2" s="1"/>
  <c r="L71" i="2"/>
  <c r="L72" i="2" s="1"/>
  <c r="K71" i="2"/>
  <c r="K72" i="2" s="1"/>
  <c r="J71" i="2"/>
  <c r="J72" i="2" s="1"/>
  <c r="I71" i="2"/>
  <c r="I72" i="2" s="1"/>
  <c r="H71" i="2"/>
  <c r="H72" i="2" s="1"/>
  <c r="D71" i="2"/>
  <c r="L69" i="2"/>
  <c r="L70" i="2" s="1"/>
  <c r="K69" i="2"/>
  <c r="K70" i="2" s="1"/>
  <c r="J69" i="2"/>
  <c r="J70" i="2" s="1"/>
  <c r="I69" i="2"/>
  <c r="I70" i="2" s="1"/>
  <c r="H69" i="2"/>
  <c r="H70" i="2" s="1"/>
  <c r="D69" i="2"/>
  <c r="N69" i="2" s="1"/>
  <c r="L67" i="2"/>
  <c r="L68" i="2" s="1"/>
  <c r="K67" i="2"/>
  <c r="K68" i="2" s="1"/>
  <c r="J67" i="2"/>
  <c r="J68" i="2" s="1"/>
  <c r="I67" i="2"/>
  <c r="I68" i="2" s="1"/>
  <c r="H67" i="2"/>
  <c r="H68" i="2" s="1"/>
  <c r="D67" i="2"/>
  <c r="N67" i="2" s="1"/>
  <c r="L65" i="2"/>
  <c r="L66" i="2" s="1"/>
  <c r="K65" i="2"/>
  <c r="K66" i="2" s="1"/>
  <c r="J65" i="2"/>
  <c r="J66" i="2" s="1"/>
  <c r="I65" i="2"/>
  <c r="I66" i="2" s="1"/>
  <c r="H65" i="2"/>
  <c r="H66" i="2" s="1"/>
  <c r="D65" i="2"/>
  <c r="L63" i="2"/>
  <c r="L64" i="2" s="1"/>
  <c r="K63" i="2"/>
  <c r="K64" i="2" s="1"/>
  <c r="J63" i="2"/>
  <c r="J64" i="2" s="1"/>
  <c r="I63" i="2"/>
  <c r="I64" i="2" s="1"/>
  <c r="H63" i="2"/>
  <c r="H64" i="2" s="1"/>
  <c r="D63" i="2"/>
  <c r="O63" i="2" s="1"/>
  <c r="L61" i="2"/>
  <c r="L62" i="2" s="1"/>
  <c r="K61" i="2"/>
  <c r="K62" i="2" s="1"/>
  <c r="J61" i="2"/>
  <c r="J62" i="2" s="1"/>
  <c r="I61" i="2"/>
  <c r="I62" i="2" s="1"/>
  <c r="H61" i="2"/>
  <c r="H62" i="2" s="1"/>
  <c r="D61" i="2"/>
  <c r="N61" i="2" s="1"/>
  <c r="N59" i="2"/>
  <c r="L59" i="2"/>
  <c r="L60" i="2" s="1"/>
  <c r="K59" i="2"/>
  <c r="K60" i="2" s="1"/>
  <c r="J59" i="2"/>
  <c r="J60" i="2" s="1"/>
  <c r="I59" i="2"/>
  <c r="I60" i="2" s="1"/>
  <c r="H59" i="2"/>
  <c r="H60" i="2" s="1"/>
  <c r="D59" i="2"/>
  <c r="N57" i="2"/>
  <c r="L57" i="2"/>
  <c r="L58" i="2" s="1"/>
  <c r="K57" i="2"/>
  <c r="K58" i="2" s="1"/>
  <c r="J57" i="2"/>
  <c r="J58" i="2" s="1"/>
  <c r="I57" i="2"/>
  <c r="I58" i="2" s="1"/>
  <c r="H57" i="2"/>
  <c r="H58" i="2" s="1"/>
  <c r="D57" i="2"/>
  <c r="M55" i="2"/>
  <c r="M56" i="2" s="1"/>
  <c r="L55" i="2"/>
  <c r="L56" i="2" s="1"/>
  <c r="K55" i="2"/>
  <c r="K56" i="2" s="1"/>
  <c r="J55" i="2"/>
  <c r="J56" i="2" s="1"/>
  <c r="I55" i="2"/>
  <c r="I56" i="2" s="1"/>
  <c r="H55" i="2"/>
  <c r="H56" i="2" s="1"/>
  <c r="D55" i="2"/>
  <c r="O55" i="2" s="1"/>
  <c r="K53" i="2"/>
  <c r="K54" i="2" s="1"/>
  <c r="J53" i="2"/>
  <c r="J54" i="2" s="1"/>
  <c r="I53" i="2"/>
  <c r="I54" i="2" s="1"/>
  <c r="H53" i="2"/>
  <c r="H54" i="2" s="1"/>
  <c r="D53" i="2"/>
  <c r="M53" i="2" s="1"/>
  <c r="L51" i="2"/>
  <c r="L52" i="2" s="1"/>
  <c r="K51" i="2"/>
  <c r="K52" i="2" s="1"/>
  <c r="J51" i="2"/>
  <c r="J52" i="2" s="1"/>
  <c r="I51" i="2"/>
  <c r="I52" i="2" s="1"/>
  <c r="H51" i="2"/>
  <c r="H52" i="2" s="1"/>
  <c r="D51" i="2"/>
  <c r="M51" i="2" s="1"/>
  <c r="N49" i="2"/>
  <c r="H49" i="2"/>
  <c r="H50" i="2" s="1"/>
  <c r="D49" i="2"/>
  <c r="M49" i="2" s="1"/>
  <c r="L47" i="2"/>
  <c r="L48" i="2" s="1"/>
  <c r="K47" i="2"/>
  <c r="K48" i="2" s="1"/>
  <c r="J47" i="2"/>
  <c r="J48" i="2" s="1"/>
  <c r="I47" i="2"/>
  <c r="I48" i="2" s="1"/>
  <c r="H47" i="2"/>
  <c r="H48" i="2" s="1"/>
  <c r="D47" i="2"/>
  <c r="M47" i="2" s="1"/>
  <c r="L45" i="2"/>
  <c r="L46" i="2" s="1"/>
  <c r="K45" i="2"/>
  <c r="K46" i="2" s="1"/>
  <c r="J45" i="2"/>
  <c r="J46" i="2" s="1"/>
  <c r="I45" i="2"/>
  <c r="I46" i="2" s="1"/>
  <c r="H45" i="2"/>
  <c r="H46" i="2" s="1"/>
  <c r="D45" i="2"/>
  <c r="M45" i="2" s="1"/>
  <c r="J43" i="2"/>
  <c r="J44" i="2" s="1"/>
  <c r="I43" i="2"/>
  <c r="I44" i="2" s="1"/>
  <c r="H43" i="2"/>
  <c r="H44" i="2" s="1"/>
  <c r="D43" i="2"/>
  <c r="N41" i="2"/>
  <c r="L41" i="2"/>
  <c r="L42" i="2" s="1"/>
  <c r="K41" i="2"/>
  <c r="K42" i="2" s="1"/>
  <c r="J41" i="2"/>
  <c r="J42" i="2" s="1"/>
  <c r="I41" i="2"/>
  <c r="I42" i="2" s="1"/>
  <c r="H41" i="2"/>
  <c r="H42" i="2" s="1"/>
  <c r="D41" i="2"/>
  <c r="N39" i="2"/>
  <c r="L39" i="2"/>
  <c r="L40" i="2" s="1"/>
  <c r="K39" i="2"/>
  <c r="K40" i="2" s="1"/>
  <c r="J39" i="2"/>
  <c r="J40" i="2" s="1"/>
  <c r="I39" i="2"/>
  <c r="I40" i="2" s="1"/>
  <c r="H39" i="2"/>
  <c r="H40" i="2" s="1"/>
  <c r="D39" i="2"/>
  <c r="O39" i="2" s="1"/>
  <c r="N37" i="2"/>
  <c r="L37" i="2"/>
  <c r="L38" i="2" s="1"/>
  <c r="K37" i="2"/>
  <c r="K38" i="2" s="1"/>
  <c r="J37" i="2"/>
  <c r="J38" i="2" s="1"/>
  <c r="I37" i="2"/>
  <c r="I38" i="2" s="1"/>
  <c r="H37" i="2"/>
  <c r="H38" i="2" s="1"/>
  <c r="D37" i="2"/>
  <c r="L33" i="2"/>
  <c r="L34" i="2" s="1"/>
  <c r="K33" i="2"/>
  <c r="K34" i="2" s="1"/>
  <c r="J33" i="2"/>
  <c r="J34" i="2" s="1"/>
  <c r="I33" i="2"/>
  <c r="I34" i="2" s="1"/>
  <c r="H33" i="2"/>
  <c r="H34" i="2" s="1"/>
  <c r="D33" i="2"/>
  <c r="N33" i="2" s="1"/>
  <c r="L31" i="2"/>
  <c r="L32" i="2" s="1"/>
  <c r="K31" i="2"/>
  <c r="K32" i="2" s="1"/>
  <c r="J31" i="2"/>
  <c r="J32" i="2" s="1"/>
  <c r="I31" i="2"/>
  <c r="I32" i="2" s="1"/>
  <c r="H31" i="2"/>
  <c r="H32" i="2" s="1"/>
  <c r="D31" i="2"/>
  <c r="N31" i="2" s="1"/>
  <c r="K29" i="2"/>
  <c r="K30" i="2" s="1"/>
  <c r="J29" i="2"/>
  <c r="J30" i="2" s="1"/>
  <c r="I29" i="2"/>
  <c r="I30" i="2" s="1"/>
  <c r="H29" i="2"/>
  <c r="H30" i="2" s="1"/>
  <c r="D29" i="2"/>
  <c r="N27" i="2"/>
  <c r="L27" i="2"/>
  <c r="L28" i="2" s="1"/>
  <c r="K27" i="2"/>
  <c r="K28" i="2" s="1"/>
  <c r="J27" i="2"/>
  <c r="J28" i="2" s="1"/>
  <c r="I27" i="2"/>
  <c r="I28" i="2" s="1"/>
  <c r="H27" i="2"/>
  <c r="H28" i="2" s="1"/>
  <c r="D27" i="2"/>
  <c r="D25" i="2"/>
  <c r="N25" i="2" s="1"/>
  <c r="H25" i="2"/>
  <c r="H26" i="2" s="1"/>
  <c r="I25" i="2"/>
  <c r="I26" i="2" s="1"/>
  <c r="J25" i="2"/>
  <c r="J26" i="2" s="1"/>
  <c r="K25" i="2"/>
  <c r="K26" i="2" s="1"/>
  <c r="D23" i="2"/>
  <c r="M23" i="2" s="1"/>
  <c r="H23" i="2"/>
  <c r="H24" i="2" s="1"/>
  <c r="I23" i="2"/>
  <c r="I24" i="2" s="1"/>
  <c r="J23" i="2"/>
  <c r="J24" i="2" s="1"/>
  <c r="O23" i="2"/>
  <c r="D17" i="2"/>
  <c r="D19" i="2"/>
  <c r="D21" i="2"/>
  <c r="D11" i="2"/>
  <c r="D13" i="2"/>
  <c r="D15" i="2"/>
  <c r="D9" i="2"/>
  <c r="B87" i="2"/>
  <c r="B85" i="2"/>
  <c r="B83" i="2"/>
  <c r="B81" i="2"/>
  <c r="B79" i="2"/>
  <c r="B77" i="2"/>
  <c r="B75" i="2"/>
  <c r="B73" i="2"/>
  <c r="B71" i="2"/>
  <c r="B69" i="2"/>
  <c r="B67" i="2"/>
  <c r="B65" i="2"/>
  <c r="B63" i="2"/>
  <c r="B61" i="2"/>
  <c r="B59" i="2"/>
  <c r="B57" i="2"/>
  <c r="B55" i="2"/>
  <c r="B53" i="2"/>
  <c r="I124" i="1"/>
  <c r="B51" i="2"/>
  <c r="B49" i="2"/>
  <c r="B47" i="2"/>
  <c r="B45" i="2"/>
  <c r="B43" i="2"/>
  <c r="B41" i="2"/>
  <c r="B39" i="2"/>
  <c r="B37" i="2"/>
  <c r="B33" i="2"/>
  <c r="B31" i="2"/>
  <c r="B29" i="2"/>
  <c r="B27" i="2"/>
  <c r="B25" i="2"/>
  <c r="B23" i="2"/>
  <c r="B21" i="2"/>
  <c r="B19" i="2"/>
  <c r="B17" i="2"/>
  <c r="B15" i="2"/>
  <c r="B11" i="2"/>
  <c r="B9" i="2"/>
  <c r="B13" i="2"/>
  <c r="L85" i="2" l="1"/>
  <c r="L86" i="2" s="1"/>
  <c r="L73" i="2"/>
  <c r="L74" i="2" s="1"/>
  <c r="N53" i="2"/>
  <c r="K43" i="2"/>
  <c r="K44" i="2" s="1"/>
  <c r="L43" i="2"/>
  <c r="N29" i="2"/>
  <c r="O25" i="2"/>
  <c r="M24" i="2"/>
  <c r="N88" i="2"/>
  <c r="M87" i="2"/>
  <c r="M88" i="2" s="1"/>
  <c r="O85" i="2"/>
  <c r="M85" i="2"/>
  <c r="N84" i="2"/>
  <c r="M83" i="2"/>
  <c r="M84" i="2" s="1"/>
  <c r="O81" i="2"/>
  <c r="O80" i="2"/>
  <c r="N79" i="2"/>
  <c r="N80" i="2" s="1"/>
  <c r="O75" i="2"/>
  <c r="M75" i="2"/>
  <c r="M76" i="2" s="1"/>
  <c r="N76" i="2" s="1"/>
  <c r="O73" i="2"/>
  <c r="M73" i="2"/>
  <c r="M71" i="2"/>
  <c r="M72" i="2" s="1"/>
  <c r="N70" i="2"/>
  <c r="M69" i="2"/>
  <c r="M70" i="2" s="1"/>
  <c r="O67" i="2"/>
  <c r="M65" i="2"/>
  <c r="M66" i="2" s="1"/>
  <c r="N63" i="2"/>
  <c r="N62" i="2"/>
  <c r="O61" i="2"/>
  <c r="O59" i="2"/>
  <c r="O57" i="2"/>
  <c r="O53" i="2"/>
  <c r="M52" i="2"/>
  <c r="O49" i="2"/>
  <c r="M48" i="2"/>
  <c r="O47" i="2"/>
  <c r="M46" i="2"/>
  <c r="O45" i="2"/>
  <c r="O43" i="2"/>
  <c r="O41" i="2"/>
  <c r="N40" i="2"/>
  <c r="O40" i="2" s="1"/>
  <c r="O37" i="2"/>
  <c r="N34" i="2"/>
  <c r="O33" i="2"/>
  <c r="N32" i="2"/>
  <c r="O31" i="2"/>
  <c r="O32" i="2" s="1"/>
  <c r="O29" i="2"/>
  <c r="N28" i="2"/>
  <c r="O27" i="2"/>
  <c r="O28" i="2" s="1"/>
  <c r="N23" i="2"/>
  <c r="G58" i="1"/>
  <c r="H316" i="1"/>
  <c r="J316" i="1"/>
  <c r="J315" i="1"/>
  <c r="H315" i="1"/>
  <c r="I136" i="1"/>
  <c r="I233" i="1"/>
  <c r="H211" i="1"/>
  <c r="J211" i="1" s="1"/>
  <c r="H213" i="1"/>
  <c r="J213" i="1" s="1"/>
  <c r="I311" i="1"/>
  <c r="H42" i="1"/>
  <c r="J42" i="1" s="1"/>
  <c r="I35" i="1"/>
  <c r="I13" i="1"/>
  <c r="I307" i="1"/>
  <c r="H261" i="1"/>
  <c r="J261" i="1" s="1"/>
  <c r="H262" i="1"/>
  <c r="J262" i="1" s="1"/>
  <c r="H264" i="1"/>
  <c r="J264" i="1" s="1"/>
  <c r="H265" i="1"/>
  <c r="J265" i="1" s="1"/>
  <c r="H266" i="1"/>
  <c r="J266" i="1" s="1"/>
  <c r="H267" i="1"/>
  <c r="J267" i="1" s="1"/>
  <c r="H259" i="1"/>
  <c r="J259" i="1" s="1"/>
  <c r="H228" i="1"/>
  <c r="J228" i="1" s="1"/>
  <c r="H229" i="1"/>
  <c r="J229" i="1" s="1"/>
  <c r="H230" i="1"/>
  <c r="J230" i="1" s="1"/>
  <c r="H231" i="1"/>
  <c r="J231" i="1" s="1"/>
  <c r="H233" i="1"/>
  <c r="H235" i="1"/>
  <c r="J235" i="1" s="1"/>
  <c r="H236" i="1"/>
  <c r="J236" i="1" s="1"/>
  <c r="H237" i="1"/>
  <c r="J237" i="1" s="1"/>
  <c r="H238" i="1"/>
  <c r="J238" i="1" s="1"/>
  <c r="H239" i="1"/>
  <c r="J239" i="1" s="1"/>
  <c r="H240" i="1"/>
  <c r="J240" i="1" s="1"/>
  <c r="H244" i="1"/>
  <c r="J244" i="1" s="1"/>
  <c r="H245" i="1"/>
  <c r="J245" i="1" s="1"/>
  <c r="H246" i="1"/>
  <c r="J246" i="1" s="1"/>
  <c r="H247" i="1"/>
  <c r="J247" i="1" s="1"/>
  <c r="H248" i="1"/>
  <c r="J248" i="1" s="1"/>
  <c r="H249" i="1"/>
  <c r="J249" i="1" s="1"/>
  <c r="H250" i="1"/>
  <c r="J250" i="1" s="1"/>
  <c r="H303" i="1"/>
  <c r="J303" i="1" s="1"/>
  <c r="H300" i="1"/>
  <c r="J300" i="1" s="1"/>
  <c r="H301" i="1"/>
  <c r="J301" i="1" s="1"/>
  <c r="H299" i="1"/>
  <c r="J299" i="1" s="1"/>
  <c r="H297" i="1"/>
  <c r="J297" i="1" s="1"/>
  <c r="H293" i="1"/>
  <c r="J293" i="1" s="1"/>
  <c r="H281" i="1"/>
  <c r="J281" i="1" s="1"/>
  <c r="H283" i="1"/>
  <c r="J283" i="1" s="1"/>
  <c r="H279" i="1"/>
  <c r="J279" i="1" s="1"/>
  <c r="H272" i="1"/>
  <c r="J272" i="1" s="1"/>
  <c r="H274" i="1"/>
  <c r="J274" i="1" s="1"/>
  <c r="H275" i="1"/>
  <c r="J275" i="1" s="1"/>
  <c r="H271" i="1"/>
  <c r="J271" i="1" s="1"/>
  <c r="H257" i="1"/>
  <c r="J257" i="1" s="1"/>
  <c r="H253" i="1"/>
  <c r="J253" i="1" s="1"/>
  <c r="J254" i="1" s="1"/>
  <c r="C73" i="2" s="1"/>
  <c r="K73" i="2" s="1"/>
  <c r="K74" i="2" s="1"/>
  <c r="H227" i="1"/>
  <c r="J227" i="1" s="1"/>
  <c r="H221" i="1"/>
  <c r="J221" i="1" s="1"/>
  <c r="H223" i="1"/>
  <c r="J223" i="1" s="1"/>
  <c r="H219" i="1"/>
  <c r="J219" i="1" s="1"/>
  <c r="H217" i="1"/>
  <c r="J217" i="1" s="1"/>
  <c r="H212" i="1"/>
  <c r="J212" i="1" s="1"/>
  <c r="H210" i="1"/>
  <c r="J210" i="1" s="1"/>
  <c r="H209" i="1"/>
  <c r="J209" i="1" s="1"/>
  <c r="H205" i="1"/>
  <c r="J205" i="1" s="1"/>
  <c r="H203" i="1"/>
  <c r="J203" i="1" s="1"/>
  <c r="H201" i="1"/>
  <c r="J201" i="1" s="1"/>
  <c r="H195" i="1"/>
  <c r="J195" i="1" s="1"/>
  <c r="H196" i="1"/>
  <c r="J196" i="1" s="1"/>
  <c r="H197" i="1"/>
  <c r="J197" i="1" s="1"/>
  <c r="H193" i="1"/>
  <c r="J193" i="1" s="1"/>
  <c r="H192" i="1"/>
  <c r="J192" i="1" s="1"/>
  <c r="H190" i="1"/>
  <c r="J190" i="1" s="1"/>
  <c r="H189" i="1"/>
  <c r="J189" i="1" s="1"/>
  <c r="H187" i="1"/>
  <c r="J187" i="1" s="1"/>
  <c r="H186" i="1"/>
  <c r="J186" i="1" s="1"/>
  <c r="H174" i="1"/>
  <c r="J174" i="1" s="1"/>
  <c r="H176" i="1"/>
  <c r="J176" i="1" s="1"/>
  <c r="H178" i="1"/>
  <c r="J178" i="1" s="1"/>
  <c r="H180" i="1"/>
  <c r="J180" i="1" s="1"/>
  <c r="H181" i="1"/>
  <c r="J181" i="1" s="1"/>
  <c r="H182" i="1"/>
  <c r="J182" i="1" s="1"/>
  <c r="H170" i="1"/>
  <c r="J170" i="1" s="1"/>
  <c r="H169" i="1"/>
  <c r="J169" i="1" s="1"/>
  <c r="H167" i="1"/>
  <c r="J167" i="1" s="1"/>
  <c r="H165" i="1"/>
  <c r="J165" i="1" s="1"/>
  <c r="H164" i="1"/>
  <c r="J164" i="1" s="1"/>
  <c r="H160" i="1"/>
  <c r="J160" i="1" s="1"/>
  <c r="H157" i="1"/>
  <c r="J157" i="1" s="1"/>
  <c r="H158" i="1"/>
  <c r="J158" i="1" s="1"/>
  <c r="H156" i="1"/>
  <c r="J156" i="1" s="1"/>
  <c r="H154" i="1"/>
  <c r="J154" i="1" s="1"/>
  <c r="H153" i="1"/>
  <c r="J153" i="1" s="1"/>
  <c r="H148" i="1"/>
  <c r="J148" i="1" s="1"/>
  <c r="H151" i="1"/>
  <c r="J151" i="1" s="1"/>
  <c r="H150" i="1"/>
  <c r="J150" i="1" s="1"/>
  <c r="H144" i="1"/>
  <c r="J144" i="1" s="1"/>
  <c r="J145" i="1" s="1"/>
  <c r="C55" i="2" s="1"/>
  <c r="N55" i="2" s="1"/>
  <c r="N56" i="2" s="1"/>
  <c r="O56" i="2" s="1"/>
  <c r="I130" i="1"/>
  <c r="J214" i="1" l="1"/>
  <c r="C67" i="2" s="1"/>
  <c r="M67" i="2" s="1"/>
  <c r="M68" i="2" s="1"/>
  <c r="N68" i="2" s="1"/>
  <c r="J276" i="1"/>
  <c r="C77" i="2" s="1"/>
  <c r="J268" i="1"/>
  <c r="C75" i="2" s="1"/>
  <c r="L75" i="2" s="1"/>
  <c r="L76" i="2" s="1"/>
  <c r="J171" i="1"/>
  <c r="C59" i="2" s="1"/>
  <c r="M59" i="2" s="1"/>
  <c r="M60" i="2" s="1"/>
  <c r="N60" i="2" s="1"/>
  <c r="J161" i="1"/>
  <c r="C57" i="2" s="1"/>
  <c r="M57" i="2" s="1"/>
  <c r="M58" i="2" s="1"/>
  <c r="N58" i="2" s="1"/>
  <c r="N54" i="2"/>
  <c r="O26" i="2"/>
  <c r="M86" i="2"/>
  <c r="N86" i="2" s="1"/>
  <c r="M74" i="2"/>
  <c r="N74" i="2" s="1"/>
  <c r="O74" i="2" s="1"/>
  <c r="L44" i="2"/>
  <c r="N30" i="2"/>
  <c r="N24" i="2"/>
  <c r="O24" i="2" s="1"/>
  <c r="O86" i="2"/>
  <c r="O82" i="2"/>
  <c r="O76" i="2"/>
  <c r="O68" i="2"/>
  <c r="N64" i="2"/>
  <c r="O64" i="2" s="1"/>
  <c r="O62" i="2"/>
  <c r="O60" i="2"/>
  <c r="O58" i="2"/>
  <c r="O54" i="2"/>
  <c r="O48" i="2"/>
  <c r="O44" i="2"/>
  <c r="O42" i="2"/>
  <c r="O38" i="2"/>
  <c r="O34" i="2"/>
  <c r="O30" i="2"/>
  <c r="J317" i="1"/>
  <c r="C87" i="2" s="1"/>
  <c r="O87" i="2" s="1"/>
  <c r="O88" i="2" s="1"/>
  <c r="J183" i="1"/>
  <c r="C61" i="2" s="1"/>
  <c r="M61" i="2" s="1"/>
  <c r="M62" i="2" s="1"/>
  <c r="J233" i="1"/>
  <c r="J251" i="1" s="1"/>
  <c r="J304" i="1"/>
  <c r="C83" i="2" s="1"/>
  <c r="O83" i="2" s="1"/>
  <c r="O84" i="2" s="1"/>
  <c r="J284" i="1"/>
  <c r="C79" i="2" s="1"/>
  <c r="M79" i="2" s="1"/>
  <c r="M80" i="2" s="1"/>
  <c r="J224" i="1"/>
  <c r="C69" i="2" s="1"/>
  <c r="O69" i="2" s="1"/>
  <c r="O70" i="2" s="1"/>
  <c r="J206" i="1"/>
  <c r="C65" i="2" s="1"/>
  <c r="J198" i="1"/>
  <c r="C63" i="2" s="1"/>
  <c r="M63" i="2" s="1"/>
  <c r="M64" i="2" s="1"/>
  <c r="H140" i="1"/>
  <c r="J140" i="1" s="1"/>
  <c r="J141" i="1" s="1"/>
  <c r="C53" i="2" s="1"/>
  <c r="L53" i="2" s="1"/>
  <c r="L54" i="2" s="1"/>
  <c r="M54" i="2" s="1"/>
  <c r="H136" i="1"/>
  <c r="J136" i="1" s="1"/>
  <c r="H134" i="1"/>
  <c r="J134" i="1" s="1"/>
  <c r="H132" i="1"/>
  <c r="J132" i="1" s="1"/>
  <c r="H130" i="1"/>
  <c r="J130" i="1" s="1"/>
  <c r="H128" i="1"/>
  <c r="J128" i="1" s="1"/>
  <c r="H124" i="1"/>
  <c r="J124" i="1" s="1"/>
  <c r="J125" i="1" s="1"/>
  <c r="H120" i="1"/>
  <c r="J120" i="1" s="1"/>
  <c r="E117" i="1"/>
  <c r="G117" i="1" s="1"/>
  <c r="H117" i="1" s="1"/>
  <c r="J117" i="1" s="1"/>
  <c r="H118" i="1"/>
  <c r="J118" i="1" s="1"/>
  <c r="H115" i="1"/>
  <c r="J115" i="1" s="1"/>
  <c r="H113" i="1"/>
  <c r="J113" i="1" s="1"/>
  <c r="H109" i="1"/>
  <c r="J109" i="1" s="1"/>
  <c r="J110" i="1" s="1"/>
  <c r="C45" i="2" s="1"/>
  <c r="N45" i="2" s="1"/>
  <c r="N46" i="2" s="1"/>
  <c r="O46" i="2" s="1"/>
  <c r="I105" i="1"/>
  <c r="H105" i="1"/>
  <c r="I101" i="1"/>
  <c r="H101" i="1"/>
  <c r="H99" i="1"/>
  <c r="I94" i="1"/>
  <c r="I99" i="1" s="1"/>
  <c r="H94" i="1"/>
  <c r="H92" i="1"/>
  <c r="J92" i="1" s="1"/>
  <c r="J105" i="1" l="1"/>
  <c r="J106" i="1" s="1"/>
  <c r="C43" i="2" s="1"/>
  <c r="M77" i="2"/>
  <c r="M78" i="2" s="1"/>
  <c r="N77" i="2"/>
  <c r="O65" i="2"/>
  <c r="N65" i="2"/>
  <c r="N66" i="2" s="1"/>
  <c r="C71" i="2"/>
  <c r="C49" i="2"/>
  <c r="J137" i="1"/>
  <c r="C51" i="2" s="1"/>
  <c r="J121" i="1"/>
  <c r="C47" i="2" s="1"/>
  <c r="N47" i="2" s="1"/>
  <c r="N48" i="2" s="1"/>
  <c r="J101" i="1"/>
  <c r="J94" i="1"/>
  <c r="J96" i="1" s="1"/>
  <c r="C39" i="2" s="1"/>
  <c r="M39" i="2" s="1"/>
  <c r="M40" i="2" s="1"/>
  <c r="J99" i="1"/>
  <c r="H88" i="1"/>
  <c r="J88" i="1" s="1"/>
  <c r="J89" i="1" s="1"/>
  <c r="C37" i="2" s="1"/>
  <c r="M37" i="2" s="1"/>
  <c r="M38" i="2" s="1"/>
  <c r="N38" i="2" s="1"/>
  <c r="H80" i="1"/>
  <c r="I76" i="1"/>
  <c r="I75" i="1"/>
  <c r="H76" i="1"/>
  <c r="H75" i="1"/>
  <c r="H74" i="1"/>
  <c r="H73" i="1"/>
  <c r="H69" i="1"/>
  <c r="H68" i="1"/>
  <c r="H64" i="1"/>
  <c r="J64" i="1" s="1"/>
  <c r="H62" i="1"/>
  <c r="J62" i="1" s="1"/>
  <c r="H58" i="1"/>
  <c r="J58" i="1" s="1"/>
  <c r="J59" i="1" s="1"/>
  <c r="C25" i="2" s="1"/>
  <c r="I69" i="1"/>
  <c r="H50" i="1"/>
  <c r="I46" i="1"/>
  <c r="I36" i="1"/>
  <c r="H27" i="1"/>
  <c r="J27" i="1" s="1"/>
  <c r="M43" i="2" l="1"/>
  <c r="M44" i="2" s="1"/>
  <c r="N43" i="2"/>
  <c r="N78" i="2"/>
  <c r="O78" i="2" s="1"/>
  <c r="O66" i="2"/>
  <c r="N51" i="2"/>
  <c r="N52" i="2" s="1"/>
  <c r="O51" i="2"/>
  <c r="J65" i="1"/>
  <c r="C27" i="2" s="1"/>
  <c r="M27" i="2" s="1"/>
  <c r="M28" i="2" s="1"/>
  <c r="L25" i="2"/>
  <c r="L26" i="2" s="1"/>
  <c r="M25" i="2"/>
  <c r="O71" i="2"/>
  <c r="N71" i="2"/>
  <c r="N72" i="2" s="1"/>
  <c r="I49" i="2"/>
  <c r="I50" i="2" s="1"/>
  <c r="J49" i="2"/>
  <c r="K49" i="2"/>
  <c r="L49" i="2"/>
  <c r="J73" i="1"/>
  <c r="J102" i="1"/>
  <c r="C41" i="2" s="1"/>
  <c r="M41" i="2" s="1"/>
  <c r="M42" i="2" s="1"/>
  <c r="N42" i="2" s="1"/>
  <c r="J80" i="1"/>
  <c r="J81" i="1" s="1"/>
  <c r="C33" i="2" s="1"/>
  <c r="M33" i="2" s="1"/>
  <c r="M34" i="2" s="1"/>
  <c r="J75" i="1"/>
  <c r="J50" i="1"/>
  <c r="J51" i="1" s="1"/>
  <c r="C21" i="2" s="1"/>
  <c r="J76" i="1"/>
  <c r="J74" i="1"/>
  <c r="J68" i="1"/>
  <c r="J69" i="1"/>
  <c r="H54" i="1"/>
  <c r="J54" i="1" s="1"/>
  <c r="J55" i="1" s="1"/>
  <c r="C23" i="2" s="1"/>
  <c r="H46" i="1"/>
  <c r="J46" i="1" s="1"/>
  <c r="J47" i="1" s="1"/>
  <c r="C19" i="2" s="1"/>
  <c r="I41" i="1"/>
  <c r="H41" i="1"/>
  <c r="H39" i="1"/>
  <c r="I40" i="1"/>
  <c r="I39" i="1"/>
  <c r="H35" i="1"/>
  <c r="I25" i="1"/>
  <c r="I31" i="1"/>
  <c r="H21" i="1"/>
  <c r="I20" i="1"/>
  <c r="G20" i="1"/>
  <c r="H20" i="1" s="1"/>
  <c r="G19" i="1"/>
  <c r="H19" i="1" s="1"/>
  <c r="G17" i="1"/>
  <c r="I18" i="1"/>
  <c r="G18" i="1"/>
  <c r="H18" i="1" s="1"/>
  <c r="I19" i="1"/>
  <c r="I17" i="1"/>
  <c r="H13" i="1"/>
  <c r="J13" i="1" s="1"/>
  <c r="O52" i="2" l="1"/>
  <c r="K23" i="2"/>
  <c r="K24" i="2" s="1"/>
  <c r="L23" i="2"/>
  <c r="N44" i="2"/>
  <c r="M26" i="2"/>
  <c r="N26" i="2" s="1"/>
  <c r="O72" i="2"/>
  <c r="J50" i="2"/>
  <c r="K50" i="2" s="1"/>
  <c r="L50" i="2" s="1"/>
  <c r="M50" i="2" s="1"/>
  <c r="N50" i="2" s="1"/>
  <c r="O50" i="2" s="1"/>
  <c r="J77" i="1"/>
  <c r="C31" i="2" s="1"/>
  <c r="M31" i="2" s="1"/>
  <c r="M32" i="2" s="1"/>
  <c r="J41" i="1"/>
  <c r="J39" i="1"/>
  <c r="J35" i="1"/>
  <c r="I21" i="1"/>
  <c r="J21" i="1" s="1"/>
  <c r="J70" i="1"/>
  <c r="I38" i="1"/>
  <c r="J20" i="1"/>
  <c r="J18" i="1"/>
  <c r="J19" i="1"/>
  <c r="L24" i="2" l="1"/>
  <c r="C29" i="2"/>
  <c r="H31" i="1"/>
  <c r="L29" i="2" l="1"/>
  <c r="M29" i="2"/>
  <c r="J31" i="1"/>
  <c r="J32" i="1" s="1"/>
  <c r="C15" i="2" s="1"/>
  <c r="H311" i="1"/>
  <c r="H310" i="1"/>
  <c r="H307" i="1"/>
  <c r="H289" i="1"/>
  <c r="H291" i="1"/>
  <c r="H36" i="1"/>
  <c r="H38" i="1"/>
  <c r="H40" i="1"/>
  <c r="H287" i="1"/>
  <c r="H25" i="1"/>
  <c r="H17" i="1"/>
  <c r="L30" i="2" l="1"/>
  <c r="M30" i="2" s="1"/>
  <c r="J289" i="1"/>
  <c r="J291" i="1"/>
  <c r="J307" i="1" l="1"/>
  <c r="J287" i="1"/>
  <c r="J38" i="1"/>
  <c r="J36" i="1"/>
  <c r="J40" i="1"/>
  <c r="J25" i="1"/>
  <c r="J28" i="1" s="1"/>
  <c r="C13" i="2" s="1"/>
  <c r="J17" i="1"/>
  <c r="J22" i="1" s="1"/>
  <c r="C11" i="2" s="1"/>
  <c r="J43" i="1" l="1"/>
  <c r="C17" i="2" s="1"/>
  <c r="J294" i="1"/>
  <c r="C81" i="2" s="1"/>
  <c r="H11" i="1"/>
  <c r="J11" i="1" s="1"/>
  <c r="J14" i="1" s="1"/>
  <c r="C9" i="2" s="1"/>
  <c r="N81" i="2" l="1"/>
  <c r="M81" i="2"/>
  <c r="M82" i="2" s="1"/>
  <c r="H6" i="2"/>
  <c r="D89" i="2"/>
  <c r="I5" i="2"/>
  <c r="I6" i="2" s="1"/>
  <c r="N82" i="2" l="1"/>
  <c r="J5" i="2"/>
  <c r="J9" i="2" s="1"/>
  <c r="K5" i="2" l="1"/>
  <c r="K9" i="2" s="1"/>
  <c r="L5" i="2" l="1"/>
  <c r="L9" i="2" s="1"/>
  <c r="K13" i="2"/>
  <c r="L11" i="2" l="1"/>
  <c r="M5" i="2"/>
  <c r="M11" i="2" s="1"/>
  <c r="M12" i="2" s="1"/>
  <c r="H13" i="2"/>
  <c r="H14" i="2" s="1"/>
  <c r="L13" i="2"/>
  <c r="M13" i="2" l="1"/>
  <c r="M14" i="2" s="1"/>
  <c r="N5" i="2"/>
  <c r="N11" i="2" s="1"/>
  <c r="N12" i="2" s="1"/>
  <c r="M9" i="2"/>
  <c r="H15" i="2"/>
  <c r="O5" i="2"/>
  <c r="M10" i="2" l="1"/>
  <c r="N9" i="2"/>
  <c r="N13" i="2"/>
  <c r="N14" i="2" s="1"/>
  <c r="N21" i="2"/>
  <c r="H16" i="2"/>
  <c r="O21" i="2"/>
  <c r="O11" i="2"/>
  <c r="O12" i="2" s="1"/>
  <c r="O9" i="2"/>
  <c r="O13" i="2"/>
  <c r="O14" i="2" s="1"/>
  <c r="O15" i="2"/>
  <c r="N10" i="2" l="1"/>
  <c r="O10" i="2"/>
  <c r="O17" i="2"/>
  <c r="H17" i="2"/>
  <c r="H18" i="2" l="1"/>
  <c r="H19" i="2"/>
  <c r="H20" i="2" s="1"/>
  <c r="I19" i="2"/>
  <c r="E7" i="2"/>
  <c r="I20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J310" i="1" l="1"/>
  <c r="J311" i="1"/>
  <c r="J312" i="1" l="1"/>
  <c r="I17" i="2"/>
  <c r="I18" i="2" s="1"/>
  <c r="C85" i="2" l="1"/>
  <c r="J318" i="1"/>
  <c r="I11" i="2"/>
  <c r="J11" i="2"/>
  <c r="K11" i="2"/>
  <c r="M17" i="2"/>
  <c r="N17" i="2"/>
  <c r="L17" i="2"/>
  <c r="L89" i="2" s="1"/>
  <c r="M19" i="2"/>
  <c r="N19" i="2"/>
  <c r="O19" i="2"/>
  <c r="O89" i="2" s="1"/>
  <c r="L19" i="2"/>
  <c r="J85" i="2" l="1"/>
  <c r="J86" i="2" s="1"/>
  <c r="K85" i="2"/>
  <c r="C89" i="2"/>
  <c r="N15" i="2"/>
  <c r="N89" i="2" s="1"/>
  <c r="M15" i="2"/>
  <c r="L15" i="2"/>
  <c r="K15" i="2"/>
  <c r="J19" i="2"/>
  <c r="J20" i="2" s="1"/>
  <c r="K19" i="2"/>
  <c r="H11" i="2"/>
  <c r="H12" i="2" s="1"/>
  <c r="I12" i="2" s="1"/>
  <c r="J12" i="2" s="1"/>
  <c r="K12" i="2" s="1"/>
  <c r="L12" i="2" s="1"/>
  <c r="K86" i="2" l="1"/>
  <c r="K21" i="2"/>
  <c r="L21" i="2"/>
  <c r="M21" i="2"/>
  <c r="M89" i="2" s="1"/>
  <c r="I15" i="2"/>
  <c r="J15" i="2"/>
  <c r="K17" i="2"/>
  <c r="J17" i="2"/>
  <c r="I13" i="2"/>
  <c r="J13" i="2"/>
  <c r="K20" i="2"/>
  <c r="L20" i="2" s="1"/>
  <c r="M20" i="2" s="1"/>
  <c r="N20" i="2" s="1"/>
  <c r="O20" i="2" s="1"/>
  <c r="H21" i="2"/>
  <c r="H22" i="2" s="1"/>
  <c r="I21" i="2"/>
  <c r="J21" i="2"/>
  <c r="K89" i="2" l="1"/>
  <c r="J89" i="2"/>
  <c r="H9" i="2"/>
  <c r="I9" i="2"/>
  <c r="I89" i="2" s="1"/>
  <c r="I16" i="2"/>
  <c r="J16" i="2" s="1"/>
  <c r="K16" i="2" s="1"/>
  <c r="L16" i="2" s="1"/>
  <c r="M16" i="2" s="1"/>
  <c r="N16" i="2" s="1"/>
  <c r="O16" i="2" s="1"/>
  <c r="J18" i="2"/>
  <c r="K18" i="2" s="1"/>
  <c r="L18" i="2" s="1"/>
  <c r="M18" i="2" s="1"/>
  <c r="N18" i="2" s="1"/>
  <c r="O18" i="2" s="1"/>
  <c r="I14" i="2"/>
  <c r="J14" i="2" s="1"/>
  <c r="K14" i="2" s="1"/>
  <c r="L14" i="2" s="1"/>
  <c r="I22" i="2"/>
  <c r="J22" i="2" s="1"/>
  <c r="K22" i="2" s="1"/>
  <c r="L22" i="2" s="1"/>
  <c r="M22" i="2" s="1"/>
  <c r="N22" i="2" s="1"/>
  <c r="O22" i="2" s="1"/>
  <c r="H89" i="2" l="1"/>
  <c r="H90" i="2" s="1"/>
  <c r="I90" i="2" s="1"/>
  <c r="J90" i="2" s="1"/>
  <c r="K90" i="2" s="1"/>
  <c r="L90" i="2" s="1"/>
  <c r="M90" i="2" s="1"/>
  <c r="N90" i="2" s="1"/>
  <c r="H10" i="2"/>
  <c r="I10" i="2" s="1"/>
  <c r="J10" i="2" s="1"/>
  <c r="K10" i="2" s="1"/>
  <c r="L10" i="2" s="1"/>
  <c r="O90" i="2" l="1"/>
</calcChain>
</file>

<file path=xl/sharedStrings.xml><?xml version="1.0" encoding="utf-8"?>
<sst xmlns="http://schemas.openxmlformats.org/spreadsheetml/2006/main" count="836" uniqueCount="571">
  <si>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</si>
  <si>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</si>
  <si>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</si>
  <si>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</si>
  <si>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</si>
  <si>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</si>
  <si>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</si>
  <si>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</si>
  <si>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</si>
  <si>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</si>
  <si>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</si>
  <si>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</si>
  <si>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49</t>
  </si>
  <si>
    <t>CAIXA, RALO, GRELHA E ACESSÓRIO HIDRÁULICO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</si>
  <si>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</si>
  <si>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</si>
  <si>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</si>
  <si>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</si>
  <si>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</si>
  <si>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</si>
  <si>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54.06</t>
  </si>
  <si>
    <t>Guias e sarjetas</t>
  </si>
  <si>
    <t>54.06.040</t>
  </si>
  <si>
    <t>Guia pré-moldada reta tipo PMSP 100 - fck 25 MPa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</si>
  <si>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</si>
  <si>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</si>
  <si>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</si>
  <si>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</si>
  <si>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</si>
  <si>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</si>
  <si>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</si>
  <si>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</si>
  <si>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</si>
  <si>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</si>
  <si>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</si>
  <si>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</si>
  <si>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</si>
  <si>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</si>
  <si>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</si>
  <si>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</si>
  <si>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</si>
  <si>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 xml:space="preserve">CONVÊNIO: </t>
  </si>
  <si>
    <t xml:space="preserve">LOCAL: PIRAJUÍ 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</si>
  <si>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</si>
  <si>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</si>
  <si>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</si>
  <si>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</si>
  <si>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</si>
  <si>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</si>
  <si>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Valor com BDI 22,93 %</t>
  </si>
  <si>
    <t>FONTE: CPOS - 176</t>
  </si>
  <si>
    <t>02</t>
  </si>
  <si>
    <t>INÍCIO, APOIO E ADMINISTRAÇÃO DA OBRA</t>
  </si>
  <si>
    <t xml:space="preserve">Obras de Reforma e Ampliação da EMEI Jardim Eldorado no Município de Pirajuí </t>
  </si>
  <si>
    <t>OBRA: Reforma e Ampliação da EMEI</t>
  </si>
  <si>
    <t>DATA BASE: Novembro 2019</t>
  </si>
  <si>
    <t>Prefeitura</t>
  </si>
  <si>
    <t>02.03.080</t>
  </si>
  <si>
    <t>Fechamento provisório de vãos em chapa de madeira compensada</t>
  </si>
  <si>
    <t>02.03</t>
  </si>
  <si>
    <t>Tapume, vedação e proteções diversas</t>
  </si>
  <si>
    <t>02.09</t>
  </si>
  <si>
    <t>Limpeza de terreno</t>
  </si>
  <si>
    <t>02.09.040</t>
  </si>
  <si>
    <t>Limpeza mecanizada do terreno, inclusive troncos até 15 cm de diâmetro, com caminhão à disposição dentro e fora da obra, com transporte no raio de até 1 km</t>
  </si>
  <si>
    <t>09</t>
  </si>
  <si>
    <t>FORMA</t>
  </si>
  <si>
    <t>09.01</t>
  </si>
  <si>
    <t>Forma em tábua</t>
  </si>
  <si>
    <t>09.01.020</t>
  </si>
  <si>
    <t>Forma em madeira comum para fundação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</si>
  <si>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</si>
  <si>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</si>
  <si>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</si>
  <si>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</si>
  <si>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</si>
  <si>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</si>
  <si>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12</t>
  </si>
  <si>
    <t>FUNDAÇÃO PROFUNDA</t>
  </si>
  <si>
    <t>12.01</t>
  </si>
  <si>
    <t>Broca</t>
  </si>
  <si>
    <t>12.01.040</t>
  </si>
  <si>
    <t>Broca em concreto armado diâmetro de 25 cm - completa</t>
  </si>
  <si>
    <t>09.01.030</t>
  </si>
  <si>
    <t>Forma em madeira comum para estrutura</t>
  </si>
  <si>
    <t>09.01.160</t>
  </si>
  <si>
    <t>Desmontagem de forma em madeira para estrutura de vigas, com tábuas</t>
  </si>
  <si>
    <t>11</t>
  </si>
  <si>
    <t>CONCRETO, MASSA E LASTRO</t>
  </si>
  <si>
    <t>11.01</t>
  </si>
  <si>
    <t>Concreto usinado com controle fck - fornecimento do material</t>
  </si>
  <si>
    <t>11.16</t>
  </si>
  <si>
    <t>Lançamento e aplicação</t>
  </si>
  <si>
    <t>11.16.040</t>
  </si>
  <si>
    <t>Lançamento e adensamento de concreto ou massa em fundação</t>
  </si>
  <si>
    <t>11.16.060</t>
  </si>
  <si>
    <t>Lançamento e adensamento de concreto ou massa em estrutura</t>
  </si>
  <si>
    <t>11.01.100</t>
  </si>
  <si>
    <t>Concreto usinado, fck = 20 Mpa (Contrapiso)</t>
  </si>
  <si>
    <t>11.16.080</t>
  </si>
  <si>
    <t>Lançamento e adensamento de concreto ou massa por bombeamento</t>
  </si>
  <si>
    <t>03</t>
  </si>
  <si>
    <t>DEMOLIÇÃO SEM REAPROVEITAMENTO</t>
  </si>
  <si>
    <t>03.02</t>
  </si>
  <si>
    <t>Demolição de alvenaria</t>
  </si>
  <si>
    <t>03.02.040</t>
  </si>
  <si>
    <t>Demolição manual de alvenaria de elevação ou elemento vazado, incluindo revestimento</t>
  </si>
  <si>
    <t>14</t>
  </si>
  <si>
    <t>ALVENARIA E ELEMENTO DIVISOR</t>
  </si>
  <si>
    <t>14.04</t>
  </si>
  <si>
    <t>Alvenaria com bloco cerâmico de vedação</t>
  </si>
  <si>
    <t>14.04.210</t>
  </si>
  <si>
    <t>Alvenaria de bloco cerâmico de vedação, uso revestido, de 14 cm</t>
  </si>
  <si>
    <t>10.02</t>
  </si>
  <si>
    <t>Armadura em tela</t>
  </si>
  <si>
    <t>Armadura em tela soldada de aço</t>
  </si>
  <si>
    <t>13</t>
  </si>
  <si>
    <t>LAJE E PAINEL DE FECHAMENTO PRÉ-FABRICADOS</t>
  </si>
  <si>
    <t>13.01</t>
  </si>
  <si>
    <t>Laje pré-fabricada mista em vigotas treliçadas e lajotas</t>
  </si>
  <si>
    <t>13.01.130</t>
  </si>
  <si>
    <t>Laje pré-fabricada mista vigota treliçada/lajota cerâmica - LT 12 (8+4) e capa com concreto de 25 MPa</t>
  </si>
  <si>
    <t>15</t>
  </si>
  <si>
    <t>ESTRUTURA EM MADEIRA, FERRO, ALUMÍNIO E CONCRETO</t>
  </si>
  <si>
    <t>15.03</t>
  </si>
  <si>
    <t>Estrutura em aço</t>
  </si>
  <si>
    <t>Fornecimento e montagem de estrutura em aço ASTM-A36, sem pintura</t>
  </si>
  <si>
    <t>16</t>
  </si>
  <si>
    <t>TELHAMENTO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</si>
  <si>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</si>
  <si>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</si>
  <si>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</si>
  <si>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</si>
  <si>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16.33</t>
  </si>
  <si>
    <t>Calhas e rufos</t>
  </si>
  <si>
    <t>16.33.022</t>
  </si>
  <si>
    <t>Calha, rufo, afins em chapa galvanizada nº 24 - corte 0,33 m</t>
  </si>
  <si>
    <t>17</t>
  </si>
  <si>
    <t>REVESTIMENTO EM MASSA OU FUNDIDO NO LOCAL</t>
  </si>
  <si>
    <t>17.02</t>
  </si>
  <si>
    <t>Revestimento em argamassa</t>
  </si>
  <si>
    <t>17.02.030</t>
  </si>
  <si>
    <t>Chapisco 1:4 com areia grossa</t>
  </si>
  <si>
    <t>17.02.220</t>
  </si>
  <si>
    <t>Reboco</t>
  </si>
  <si>
    <t>18</t>
  </si>
  <si>
    <t>REVESTIMENTO CERÂMICO</t>
  </si>
  <si>
    <t>18.06.102</t>
  </si>
  <si>
    <t>Placa cerâmica esmaltada PEI-5 para área interna, grupo de absorção BIIb, resistência química B, assentado com argamassa colante industrializada</t>
  </si>
  <si>
    <t>18.06</t>
  </si>
  <si>
    <t>Placa cerâmica esmaltada prensada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</si>
  <si>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</si>
  <si>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</si>
  <si>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</si>
  <si>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</si>
  <si>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</si>
  <si>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</si>
  <si>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19</t>
  </si>
  <si>
    <t>REVESTIMENTO EM PEDRA</t>
  </si>
  <si>
    <t>19.01</t>
  </si>
  <si>
    <t>Granito</t>
  </si>
  <si>
    <t>19.01.440</t>
  </si>
  <si>
    <t>Soleira / peitoril em granito jateado, espessura de 2 cm e largura de 20 a 30cm, assente com massa</t>
  </si>
  <si>
    <t>23</t>
  </si>
  <si>
    <t>ESQUADRIA, MARCENARIA E ELEMENTO EM MADEIRA</t>
  </si>
  <si>
    <t>23.09</t>
  </si>
  <si>
    <t>Porta lisa comum montada com batente</t>
  </si>
  <si>
    <t>23.09.040</t>
  </si>
  <si>
    <t>Porta lisa com batente madeira - 80 x 210 cm</t>
  </si>
  <si>
    <t>24</t>
  </si>
  <si>
    <t>ESQUADRIA, SERRALHERIA E ELEMENTO EM FERRO</t>
  </si>
  <si>
    <t>24.01</t>
  </si>
  <si>
    <t>24.01.100</t>
  </si>
  <si>
    <t>24.02</t>
  </si>
  <si>
    <t>Portas, portões e gradis</t>
  </si>
  <si>
    <t>24.02.020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</si>
  <si>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</si>
  <si>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</si>
  <si>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</si>
  <si>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</si>
  <si>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</si>
  <si>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</si>
  <si>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26.04</t>
  </si>
  <si>
    <t>Espelhos</t>
  </si>
  <si>
    <t>26.04.010</t>
  </si>
  <si>
    <t>Espelho em vidro cristal liso, espessura de 4 mm</t>
  </si>
  <si>
    <t>27</t>
  </si>
  <si>
    <t>ESQUADRIA E ELEMENTO EM MATERIAL ESPECIAL</t>
  </si>
  <si>
    <t>27.02</t>
  </si>
  <si>
    <t>Policarbonato</t>
  </si>
  <si>
    <t>27.02.011</t>
  </si>
  <si>
    <t>Chapa em policarbonato compacta, cristal, espessura de 6 mm, cor azul (já com pórtico de estrutura metálica na cor branca)</t>
  </si>
  <si>
    <t>28</t>
  </si>
  <si>
    <t>FERRAGEM COMPLEMENTAR PARA ESQUADRIAS</t>
  </si>
  <si>
    <t>28.01</t>
  </si>
  <si>
    <t>Ferragem para porta</t>
  </si>
  <si>
    <t>28.01.040</t>
  </si>
  <si>
    <t>Ferragem completa com maçaneta tipo alavanca, para porta interna com 1 folha</t>
  </si>
  <si>
    <t>cj</t>
  </si>
  <si>
    <t>30</t>
  </si>
  <si>
    <t>ACESSIBILIDADE</t>
  </si>
  <si>
    <t>30.01</t>
  </si>
  <si>
    <t>Barra de apoio</t>
  </si>
  <si>
    <t>30.01.020</t>
  </si>
  <si>
    <t>Barra de apoio reta, para pessoas com mobilidade reduzida, em tubo de aço inoxidável de 1 1/2´ x 500 mm</t>
  </si>
  <si>
    <t>30.06.080</t>
  </si>
  <si>
    <t>Placa de identificação em alumínio para WC, com desenho universal de acessibilidade</t>
  </si>
  <si>
    <t>30.06</t>
  </si>
  <si>
    <t>Comunicação visual e sonora</t>
  </si>
  <si>
    <t>30.08</t>
  </si>
  <si>
    <t>Aparelhos sanitários</t>
  </si>
  <si>
    <t>30.08.050</t>
  </si>
  <si>
    <t>30.08.060</t>
  </si>
  <si>
    <t>Bacia sifonada de louça para pessoas com mobilidade reduzida - 6 litros</t>
  </si>
  <si>
    <t>Trocador acessível em MDF com revestimento em laminado melamínico de 90x60cm (articulado)</t>
  </si>
  <si>
    <t>30.12</t>
  </si>
  <si>
    <t>Calçada e passeio</t>
  </si>
  <si>
    <t>Rampa de acessibilidade pré-fabricada de concreto nas dimensões 2,20 x 1,86 x 1,20 m</t>
  </si>
  <si>
    <t>30.12.010 CPOS 173</t>
  </si>
  <si>
    <t>32</t>
  </si>
  <si>
    <t>IMPERMEABILIZAÇÃO, PROTEÇÃO E JUNTA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</si>
  <si>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</si>
  <si>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</si>
  <si>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</si>
  <si>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</si>
  <si>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33</t>
  </si>
  <si>
    <t>PINTURA</t>
  </si>
  <si>
    <t>33.02</t>
  </si>
  <si>
    <t>Massa corrida</t>
  </si>
  <si>
    <t>33.02.080</t>
  </si>
  <si>
    <t>Massa corrida à base de resina acrílica</t>
  </si>
  <si>
    <t>33.06</t>
  </si>
  <si>
    <t>Pintura em pisos</t>
  </si>
  <si>
    <t>33.06.020</t>
  </si>
  <si>
    <t>Acrílico para quadras e pisos cimentados</t>
  </si>
  <si>
    <t>33.10</t>
  </si>
  <si>
    <t>Pintura em superfície de concreto/massa/gesso/pedras, inclusive preparo</t>
  </si>
  <si>
    <t>33.10.010</t>
  </si>
  <si>
    <t>Tinta látex antimofo em massa, inclusive preparo</t>
  </si>
  <si>
    <t>33.11</t>
  </si>
  <si>
    <t>Pintura em superfície metálica, inclusive preparo</t>
  </si>
  <si>
    <t>33.11.050</t>
  </si>
  <si>
    <t>Esmalte à base água em superfície metálica, inclusive preparo</t>
  </si>
  <si>
    <t>33.12</t>
  </si>
  <si>
    <t>Pintura em superfície de madeira, inclusive preparo</t>
  </si>
  <si>
    <t>33.12.011</t>
  </si>
  <si>
    <t>Esmalte à base de água em madeira, inclusive preparo</t>
  </si>
  <si>
    <t>34</t>
  </si>
  <si>
    <t>PAISAGISMO E FECHAMENTOS</t>
  </si>
  <si>
    <t>34.13</t>
  </si>
  <si>
    <t>Corte, poda e remoção</t>
  </si>
  <si>
    <t>34.13.011</t>
  </si>
  <si>
    <t>Corte, recorte e remoção de árvore  inclusive as raízes - diâmetro (DAP)&gt;5cm&lt;15cm</t>
  </si>
  <si>
    <t>35</t>
  </si>
  <si>
    <t>PLAYGROUND E EQUIPAMENTO RECREATIVO</t>
  </si>
  <si>
    <t>35.04</t>
  </si>
  <si>
    <t>Bancos</t>
  </si>
  <si>
    <t>35.04.120</t>
  </si>
  <si>
    <t>Banco em concreto pré-moldado, comprimento 150 cm</t>
  </si>
  <si>
    <t>37</t>
  </si>
  <si>
    <t>QUADRO E PAINEL PARA ENERGIA ELÉTRICA E TELEFONIA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</si>
  <si>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</si>
  <si>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</si>
  <si>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</si>
  <si>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</si>
  <si>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37.13</t>
  </si>
  <si>
    <t>Disjuntores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</si>
  <si>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</si>
  <si>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</si>
  <si>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</si>
  <si>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</si>
  <si>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37.17</t>
  </si>
  <si>
    <t>Dispositivo DR ou interruptor de corrente de fuga</t>
  </si>
  <si>
    <t>37.17.060</t>
  </si>
  <si>
    <t>Dispositivo diferencial residual de 25 A x 30 mA - 2 polos</t>
  </si>
  <si>
    <t>37.17.130</t>
  </si>
  <si>
    <t>Dispositivo diferencial residual de 25 A x 300 mA - 4 polos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</si>
  <si>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</si>
  <si>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</si>
  <si>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</si>
  <si>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</si>
  <si>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</si>
  <si>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</si>
  <si>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</si>
  <si>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</si>
  <si>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37.24</t>
  </si>
  <si>
    <t>Supressor de surto</t>
  </si>
  <si>
    <t>37.24.031</t>
  </si>
  <si>
    <t>Supressor de surto monofásico, Fase-Terra, In 4 a 11 kA, Imax. de surto de 12 até 15 kA</t>
  </si>
  <si>
    <t>38</t>
  </si>
  <si>
    <t>TUBULAÇÃO E CONDUTOR PARA ENERGIA ELÉTRICA E TELEFONIA BÁSICA</t>
  </si>
  <si>
    <t>38.01</t>
  </si>
  <si>
    <t>Eletroduto em PVC rígido roscável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</si>
  <si>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</si>
  <si>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</si>
  <si>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</si>
  <si>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</si>
  <si>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</t>
  </si>
  <si>
    <t>Eletroduto galvanizado - médio</t>
  </si>
  <si>
    <t>38.04.100</t>
  </si>
  <si>
    <t>Eletroduto galvanizado, médio de 1 1/2´ - com acessórios</t>
  </si>
  <si>
    <t>38.19</t>
  </si>
  <si>
    <t>Eletroduto em PVC corrugado flexível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</si>
  <si>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</si>
  <si>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</si>
  <si>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</si>
  <si>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</si>
  <si>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39</t>
  </si>
  <si>
    <t>CONDUTOR E ENFIAÇÃO DE ENERGIA ELÉTRICA E TELEFONIA</t>
  </si>
  <si>
    <t>39.03</t>
  </si>
  <si>
    <t>Cabo de cobre, isolamento 0,6/1kV, isolação em PVC 70°C</t>
  </si>
  <si>
    <t>39.03.182</t>
  </si>
  <si>
    <t>Cabo de cobre de 10 mm², isolamento 0,6/1 kV - isolação em PVC 70°C</t>
  </si>
  <si>
    <t>39.09</t>
  </si>
  <si>
    <t>Conectores</t>
  </si>
  <si>
    <t>39.09.020</t>
  </si>
  <si>
    <t>39.10</t>
  </si>
  <si>
    <t>Terminais de pressão e compressão</t>
  </si>
  <si>
    <t>39.10.060</t>
  </si>
  <si>
    <t>Terminal de pressão/compressão para cabo de 6 até 10 mm²</t>
  </si>
  <si>
    <t>39.21</t>
  </si>
  <si>
    <t>Cabo de cobre flexível, isolamento 0,6/1 kV, isolação em HEPR 90°C</t>
  </si>
  <si>
    <t>39.21.231</t>
  </si>
  <si>
    <t>Cabo de cobre flexível de 3 x 2,5 mm², isolamento 0,6/1 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</si>
  <si>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</si>
  <si>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</si>
  <si>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</si>
  <si>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</si>
  <si>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</si>
  <si>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</si>
  <si>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</si>
  <si>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</si>
  <si>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</si>
  <si>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</si>
  <si>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</si>
  <si>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</si>
  <si>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40.04</t>
  </si>
  <si>
    <t>Tomadas</t>
  </si>
  <si>
    <t>40.04.450</t>
  </si>
  <si>
    <t>Tomada 2P+T de 10 A - 250 V, completa</t>
  </si>
  <si>
    <t>40.04.470</t>
  </si>
  <si>
    <t>Conjunto 2 tomadas 2P+T de 10 A, completo</t>
  </si>
  <si>
    <t>40.05</t>
  </si>
  <si>
    <t>Interruptores e minuterias</t>
  </si>
  <si>
    <t>40.05.020</t>
  </si>
  <si>
    <t>Interruptor com 1 tecla simples e placa</t>
  </si>
  <si>
    <t>40.05.330</t>
  </si>
  <si>
    <t>Variador de luminosidade rotativo até 1000 W, 127/220 V, com placa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</si>
  <si>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</si>
  <si>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</si>
  <si>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</si>
  <si>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</si>
  <si>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</si>
  <si>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</si>
  <si>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40.06.100</t>
  </si>
  <si>
    <t>Condulete metálico de 1 1/2´</t>
  </si>
  <si>
    <t>41</t>
  </si>
  <si>
    <t>ILUMINAÇÃO</t>
  </si>
  <si>
    <t>41.02</t>
  </si>
  <si>
    <t>Lâmpadas</t>
  </si>
  <si>
    <t>41.02.551</t>
  </si>
  <si>
    <t>Lâmpada LED tubular T8 com base G13, de 1850 até 2000 Im - 18 a 20W</t>
  </si>
  <si>
    <t>41.04</t>
  </si>
  <si>
    <t>Acessórios para iluminação</t>
  </si>
  <si>
    <t>41.04.020</t>
  </si>
  <si>
    <t>Receptáculo de porcelana com parafuso de fixação com rosca E-27</t>
  </si>
  <si>
    <t>41.30</t>
  </si>
  <si>
    <t>Luminária e acessórios especiais</t>
  </si>
  <si>
    <t>41.30.250</t>
  </si>
  <si>
    <t>Luminária tipo arandela para lâmpada vapor metálico de 250 W ou 400 W</t>
  </si>
  <si>
    <t>42</t>
  </si>
  <si>
    <t>PARA-RAIOS PARA EDIFICAÇÃO</t>
  </si>
  <si>
    <t>42.05</t>
  </si>
  <si>
    <t>Componentes para cabo de descida</t>
  </si>
  <si>
    <t>42.05.110</t>
  </si>
  <si>
    <t>Conector cabo/haste de 3/4´</t>
  </si>
  <si>
    <t>42.05.120</t>
  </si>
  <si>
    <t>Conector de emenda em latão para cabo de até 50 mm² com 4 parafusos</t>
  </si>
  <si>
    <t>42.05.190</t>
  </si>
  <si>
    <t>Haste de aterramento de 3/4'' x 3 m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</si>
  <si>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</si>
  <si>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</si>
  <si>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</si>
  <si>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</si>
  <si>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</si>
  <si>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</si>
  <si>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43.02</t>
  </si>
  <si>
    <t>Chuveiros</t>
  </si>
  <si>
    <t>43.02.140</t>
  </si>
  <si>
    <t>Chuveiro elétrico de 5.500 W / 220 V em PVC</t>
  </si>
  <si>
    <t>43.05</t>
  </si>
  <si>
    <t>Exaustor, ventilador e circulador de ar</t>
  </si>
  <si>
    <t>43.05.030</t>
  </si>
  <si>
    <t>Exaustor elétrico em plástico, vazão de 150 a 190m³/h</t>
  </si>
  <si>
    <t>44</t>
  </si>
  <si>
    <t>APARELHOS E METAIS HIDRÁULICOS</t>
  </si>
  <si>
    <t>44.01</t>
  </si>
  <si>
    <t>Aparelhos e louças</t>
  </si>
  <si>
    <t>44.01.050</t>
  </si>
  <si>
    <t>Bacia sifonada de louça sem tampa - 6 litros</t>
  </si>
  <si>
    <t>44.01.100</t>
  </si>
  <si>
    <t>Lavatório de louça sem coluna</t>
  </si>
  <si>
    <t>44.01.200</t>
  </si>
  <si>
    <t>Mictório de louça sifonado auto aspirante</t>
  </si>
  <si>
    <t>44.01.270</t>
  </si>
  <si>
    <t>Cuba de louça de embutir oval</t>
  </si>
  <si>
    <t>44.01.310</t>
  </si>
  <si>
    <t>Tanque de louça com coluna de 30 litros</t>
  </si>
  <si>
    <t>44.02</t>
  </si>
  <si>
    <t>Bancadas e tampos</t>
  </si>
  <si>
    <t>44.02.060</t>
  </si>
  <si>
    <t>Tampo/bancada em granito com espessura de 3 cm</t>
  </si>
  <si>
    <t>44.03</t>
  </si>
  <si>
    <t>Acessórios e metais</t>
  </si>
  <si>
    <t>44.03.040</t>
  </si>
  <si>
    <t>Saboneteira de louça de embutir</t>
  </si>
  <si>
    <t>44.03.080</t>
  </si>
  <si>
    <t>Porta-papel de louça de embutir</t>
  </si>
  <si>
    <t>44.03.090</t>
  </si>
  <si>
    <t>Cabide cromado para banheiro</t>
  </si>
  <si>
    <t>44.03.360</t>
  </si>
  <si>
    <t>Ducha higiênica cromada</t>
  </si>
  <si>
    <t>44.03.450</t>
  </si>
  <si>
    <t>Torneira longa sem rosca para uso geral, em latão fundido cromado</t>
  </si>
  <si>
    <t>44.03.670</t>
  </si>
  <si>
    <t>Caixa de descarga de embutir, acionamento frontal, completa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</si>
  <si>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</si>
  <si>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</si>
  <si>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</si>
  <si>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</si>
  <si>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</si>
  <si>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</si>
  <si>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</si>
  <si>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</si>
  <si>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</si>
  <si>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</si>
  <si>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44.20.120</t>
  </si>
  <si>
    <t>Canopla para válvula de descarga</t>
  </si>
  <si>
    <t>44.20.280</t>
  </si>
  <si>
    <t>Tampa de plástico para bacia sanitária</t>
  </si>
  <si>
    <t>44.20.300</t>
  </si>
  <si>
    <t>Bolsa para bacia sanitária</t>
  </si>
  <si>
    <t>45</t>
  </si>
  <si>
    <t>ENTRADA DE ÁGUA, INCÊNDIO E GÁS</t>
  </si>
  <si>
    <t>45.02.040</t>
  </si>
  <si>
    <t>Entrada completa de gás GLP com 2 cilindros de 45 kg</t>
  </si>
  <si>
    <t>46</t>
  </si>
  <si>
    <t>TUBULAÇÃO E CONDUTORES PARA LÍQUIDOS E GASES.</t>
  </si>
  <si>
    <t>46.01</t>
  </si>
  <si>
    <t>Tubulação em PVC rígido marrom para sistemas prediais de água fria</t>
  </si>
  <si>
    <t>46.01.010</t>
  </si>
  <si>
    <t>Tubo de PVC rígido soldável marrom, DN= 20 mm, (1/2´), inclusive conexões</t>
  </si>
  <si>
    <t>46.02</t>
  </si>
  <si>
    <t>Tubulação em PVC rígido branco para esgoto domiciliar</t>
  </si>
  <si>
    <t>46.02.060</t>
  </si>
  <si>
    <t>Tubo de PVC rígido branco PxB com virola e anel de borracha, linha esgoto série normal, DN= 75 mm, inclusive conexões</t>
  </si>
  <si>
    <t>46.05</t>
  </si>
  <si>
    <t>Tubulação em PVC rígido com junta elástica - rede de esgoto</t>
  </si>
  <si>
    <t>46.05.020</t>
  </si>
  <si>
    <t>Tubo PVC rígido, tipo Coletor Esgoto, junta elástica, DN= 100 mm, inclusive conexões</t>
  </si>
  <si>
    <t>46.33</t>
  </si>
  <si>
    <t>Tubulação em PP - águas pluviais / esgoto</t>
  </si>
  <si>
    <t>46.33.003</t>
  </si>
  <si>
    <t>Tubo de esgoto em polipropileno de alta resistência - PP, DN= 63mm, preto, com união deslizante e guarnição elastomérica de duplo lábio</t>
  </si>
  <si>
    <t>46.33.022</t>
  </si>
  <si>
    <t>Joelho 45° em polipropileno de alta resistência - PP, preto, tipo PB, DN= 63mm</t>
  </si>
  <si>
    <t>46.33.104</t>
  </si>
  <si>
    <t>Luva dupla em polipropileno de alta resistência - PP,  preto,  DN= 63mm</t>
  </si>
  <si>
    <t>46.33.131</t>
  </si>
  <si>
    <t>Tê 87°30' simples em polipropileno de alta resistência - PP, preto, tipo PB, DN= 63x63mm</t>
  </si>
  <si>
    <t>47</t>
  </si>
  <si>
    <t>VÁLVULAS E APARELHOS DE MEDIÇÃO E CONTROLE PARA LÍQUIDOS E GASES</t>
  </si>
  <si>
    <t>47.01</t>
  </si>
  <si>
    <t>Registro e / ou válvula em latão fundido sem acabamento</t>
  </si>
  <si>
    <t>47.01.020</t>
  </si>
  <si>
    <t>Registro de gaveta em latão fundido sem acabamento, DN= 3/4´</t>
  </si>
  <si>
    <t>47.01.180</t>
  </si>
  <si>
    <t>Válvula de esfera monobloco em latão fundido passagem plena, acionamento com alavanca, DN= 3/4´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</si>
  <si>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</si>
  <si>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</si>
  <si>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</si>
  <si>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</si>
  <si>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47.04.100</t>
  </si>
  <si>
    <t>Válvula de mictório padrão, vazão automática, DN= 3/4´</t>
  </si>
  <si>
    <t>48</t>
  </si>
  <si>
    <t>RESERVATÓRIO E TANQUE PARA LÍQUIDOS E GASES</t>
  </si>
  <si>
    <t>48.02</t>
  </si>
  <si>
    <t>Reservatório em material sintético</t>
  </si>
  <si>
    <t>48.05</t>
  </si>
  <si>
    <t>Torneira de boia</t>
  </si>
  <si>
    <t>48.05.010</t>
  </si>
  <si>
    <t>Torneira de boia, DN= 3/4´</t>
  </si>
  <si>
    <t>48.20</t>
  </si>
  <si>
    <t>Reparos, conservações e complementos - GRUPO 48</t>
  </si>
  <si>
    <t>48.20.040</t>
  </si>
  <si>
    <t>Limpeza de caixa d´água de 1.001 até 10.000 litros</t>
  </si>
  <si>
    <t>49.01</t>
  </si>
  <si>
    <t>Caixas sifonadas de PVC rígido</t>
  </si>
  <si>
    <t>49.01.016</t>
  </si>
  <si>
    <t>Caixa sifonada de PVC rígido de 100 x 100 x 50 mm, com grelha</t>
  </si>
  <si>
    <t>49.03</t>
  </si>
  <si>
    <t>Caixa de gordura</t>
  </si>
  <si>
    <t>49.03.020</t>
  </si>
  <si>
    <t>Caixa de gordura em alvenaria, 600 x 600 x 600 mm</t>
  </si>
  <si>
    <t>49.04</t>
  </si>
  <si>
    <t>Ralo em PVC rígido</t>
  </si>
  <si>
    <t>49.04.010</t>
  </si>
  <si>
    <t>Ralo seco em PVC rígido de 100 x 40 mm, com grelha</t>
  </si>
  <si>
    <t>49.05</t>
  </si>
  <si>
    <t>Ralo em ferro fundido</t>
  </si>
  <si>
    <t>49.05.040</t>
  </si>
  <si>
    <t>Ralo sifonado em ferro fundido de 150 x 240 x 75 mm, com grelha</t>
  </si>
  <si>
    <t>50</t>
  </si>
  <si>
    <t>DETECÇÃO, COMBATE E PREVENÇÃO A INCÊNDIO</t>
  </si>
  <si>
    <t>50.05</t>
  </si>
  <si>
    <t>Iluminação e sinalização de emergência</t>
  </si>
  <si>
    <t>50.05.080</t>
  </si>
  <si>
    <t>Luminária para unidade centralizada de sobrepor completa com lâmpada fluorescente compacta de 15 W</t>
  </si>
  <si>
    <t>50.10</t>
  </si>
  <si>
    <t>Extintores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</si>
  <si>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</si>
  <si>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</si>
  <si>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</si>
  <si>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</si>
  <si>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</si>
  <si>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</si>
  <si>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50.20</t>
  </si>
  <si>
    <t>Reparos, conservações e complementos - GRUPO 50</t>
  </si>
  <si>
    <t>50.20.170</t>
  </si>
  <si>
    <t>Pintura de extintor de gás carbônico, pó químico seco, ou água pressurizada, com capacidade até 12 kg</t>
  </si>
  <si>
    <t>11.16.220</t>
  </si>
  <si>
    <t>Nivelamento de piso em concreto com acabadora de superfície</t>
  </si>
  <si>
    <t>54.06.160</t>
  </si>
  <si>
    <t>Sarjeta ou sarjetão moldado no local, tipo PMSP em concreto com fck 20 MPa</t>
  </si>
  <si>
    <t>Conector split-bolt para cabo de até 25 mm², latão, simples</t>
  </si>
  <si>
    <t>42.05.310</t>
  </si>
  <si>
    <t>Caixa de inspeção do terra cilíndrica em PVC rígido, diâmetro de 300 mm - h= 250 mm</t>
  </si>
  <si>
    <t>42.05.230</t>
  </si>
  <si>
    <t>Clips de fixação para vergalhão em aço galvanizado de 3/8´</t>
  </si>
  <si>
    <t>46.05.040</t>
  </si>
  <si>
    <t>Tubo PVC rígido, tipo Coletor Esgoto, junta elástica, DN= 150 mm, inclusive conexões (Drenagem)</t>
  </si>
  <si>
    <t>97.02</t>
  </si>
  <si>
    <t>Placas, pórticos e obeliscos arquitetônicos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</si>
  <si>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</si>
  <si>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</si>
  <si>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</si>
  <si>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fotoluminescente, com indicação de rota de evacuação e saída de emergência</t>
  </si>
  <si>
    <t>Mercado</t>
  </si>
  <si>
    <t>48.02.400</t>
  </si>
  <si>
    <t>Reservatório em polietileno com tampa de rosca, capacidade de 1.000 litros</t>
  </si>
  <si>
    <t>COORDENADOR DE PROJETOS</t>
  </si>
  <si>
    <t>ENGº CIVIL ALEXANDRE FARIA BARROZO</t>
  </si>
  <si>
    <t>CESAR HENRIQUE DA CUNHA FIALA</t>
  </si>
  <si>
    <t>PREFEITO MUNICIPAL</t>
  </si>
  <si>
    <t>44.04</t>
  </si>
  <si>
    <t>Prateleiras</t>
  </si>
  <si>
    <t>44.04.040</t>
  </si>
  <si>
    <t>Prateleira em granilite</t>
  </si>
  <si>
    <t>Ventiladores</t>
  </si>
  <si>
    <t>Ventilador de parede ou teto</t>
  </si>
  <si>
    <t>24.02.070</t>
  </si>
  <si>
    <t>22</t>
  </si>
  <si>
    <t>FORRO, BRISE E FACHADA</t>
  </si>
  <si>
    <t>22.03</t>
  </si>
  <si>
    <t>Forro sintético</t>
  </si>
  <si>
    <t>22.03.070</t>
  </si>
  <si>
    <t>Forro em lâmina de PVC</t>
  </si>
  <si>
    <t>Caixilho em ferro tipo veneziana, linha comercial (Gradeado)</t>
  </si>
  <si>
    <t>Porta em ferro de abrir, para receber vidro, linha comercial, quadriculada (com ferragens)</t>
  </si>
  <si>
    <t>Porta de ferro de abrir tipo veneziana, linha comercial (com ferragens e reforçada com grade)</t>
  </si>
  <si>
    <t>Obras de Reforma e Ampliação da EMEI Jardim Eldorado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</si>
</sst>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i/>
      <sz val="10"/>
      <color theme="0"/>
      <name val="Arial"/>
      <family val="2"/>
    </font>
    <font>
      <i/>
      <u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indexed="8"/>
      <name val="Calibri"/>
      <family val="2"/>
      <scheme val="minor"/>
    </font>
    <font>
      <b/>
      <i/>
      <sz val="12"/>
      <name val="Arial"/>
      <family val="2"/>
    </font>
    <font>
      <sz val="12"/>
      <name val="SansSerif"/>
      <charset val="2"/>
    </font>
    <font>
      <b/>
      <sz val="12"/>
      <color indexed="8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2"/>
      <color indexed="8"/>
      <name val="SansSerif"/>
      <charset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4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" fillId="1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" fillId="1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4" fillId="10" borderId="0" applyNumberFormat="0" applyBorder="0" applyAlignment="0" applyProtection="0"/>
    <xf numFmtId="0" fontId="12" fillId="3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34" borderId="0" applyNumberFormat="0" applyBorder="0" applyAlignment="0" applyProtection="0"/>
    <xf numFmtId="0" fontId="4" fillId="13" borderId="0" applyNumberFormat="0" applyBorder="0" applyAlignment="0" applyProtection="0"/>
    <xf numFmtId="0" fontId="12" fillId="37" borderId="0" applyNumberFormat="0" applyBorder="0" applyAlignment="0" applyProtection="0"/>
    <xf numFmtId="0" fontId="4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3" borderId="0" applyNumberFormat="0" applyBorder="0" applyAlignment="0" applyProtection="0"/>
    <xf numFmtId="0" fontId="4" fillId="19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4" fillId="24" borderId="0" applyNumberFormat="0" applyBorder="0" applyAlignment="0" applyProtection="0"/>
    <xf numFmtId="0" fontId="1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0" fillId="16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0" fillId="20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10" fillId="25" borderId="0" applyNumberFormat="0" applyBorder="0" applyAlignment="0" applyProtection="0"/>
    <xf numFmtId="0" fontId="15" fillId="43" borderId="0" applyNumberFormat="0" applyBorder="0" applyAlignment="0" applyProtection="0"/>
    <xf numFmtId="0" fontId="15" fillId="3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26" borderId="12" applyNumberFormat="0" applyAlignment="0" applyProtection="0"/>
    <xf numFmtId="0" fontId="17" fillId="26" borderId="12" applyNumberFormat="0" applyAlignment="0" applyProtection="0"/>
    <xf numFmtId="0" fontId="17" fillId="40" borderId="12" applyNumberFormat="0" applyAlignment="0" applyProtection="0"/>
    <xf numFmtId="0" fontId="9" fillId="6" borderId="8" applyNumberFormat="0" applyAlignment="0" applyProtection="0"/>
    <xf numFmtId="0" fontId="17" fillId="40" borderId="12" applyNumberFormat="0" applyAlignment="0" applyProtection="0"/>
    <xf numFmtId="0" fontId="18" fillId="48" borderId="13" applyNumberFormat="0" applyAlignment="0" applyProtection="0"/>
    <xf numFmtId="0" fontId="25" fillId="0" borderId="14" applyNumberFormat="0" applyFill="0" applyAlignment="0" applyProtection="0"/>
    <xf numFmtId="0" fontId="18" fillId="48" borderId="13" applyNumberFormat="0" applyAlignment="0" applyProtection="0"/>
    <xf numFmtId="0" fontId="37" fillId="0" borderId="0">
      <alignment vertical="center" wrapText="1"/>
    </xf>
    <xf numFmtId="0" fontId="15" fillId="49" borderId="0" applyNumberFormat="0" applyBorder="0" applyAlignment="0" applyProtection="0"/>
    <xf numFmtId="0" fontId="10" fillId="8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2" borderId="0" applyNumberFormat="0" applyBorder="0" applyAlignment="0" applyProtection="0"/>
    <xf numFmtId="0" fontId="10" fillId="17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24" fillId="27" borderId="12" applyNumberFormat="0" applyAlignment="0" applyProtection="0"/>
    <xf numFmtId="0" fontId="38" fillId="0" borderId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9" fillId="0" borderId="0" applyNumberFormat="0" applyFill="0" applyBorder="0" applyAlignment="0" applyProtection="0"/>
    <xf numFmtId="40" fontId="13" fillId="0" borderId="0">
      <alignment vertical="center" wrapText="1"/>
    </xf>
    <xf numFmtId="40" fontId="13" fillId="0" borderId="0">
      <alignment vertical="center" wrapText="1"/>
    </xf>
    <xf numFmtId="40" fontId="13" fillId="0" borderId="0">
      <alignment vertical="center" wrapText="1"/>
    </xf>
    <xf numFmtId="0" fontId="20" fillId="32" borderId="0" applyNumberFormat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0" fontId="24" fillId="27" borderId="12" applyNumberFormat="0" applyAlignment="0" applyProtection="0"/>
    <xf numFmtId="0" fontId="24" fillId="27" borderId="12" applyNumberFormat="0" applyAlignment="0" applyProtection="0"/>
    <xf numFmtId="0" fontId="25" fillId="0" borderId="14" applyNumberFormat="0" applyFill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3" fillId="0" borderId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36" fillId="0" borderId="0"/>
    <xf numFmtId="0" fontId="3" fillId="0" borderId="0"/>
    <xf numFmtId="0" fontId="13" fillId="0" borderId="0"/>
    <xf numFmtId="0" fontId="3" fillId="0" borderId="0"/>
    <xf numFmtId="0" fontId="36" fillId="0" borderId="0"/>
    <xf numFmtId="0" fontId="13" fillId="0" borderId="0"/>
    <xf numFmtId="0" fontId="13" fillId="0" borderId="0"/>
    <xf numFmtId="0" fontId="46" fillId="0" borderId="0">
      <alignment vertical="center"/>
    </xf>
    <xf numFmtId="0" fontId="13" fillId="0" borderId="0"/>
    <xf numFmtId="0" fontId="36" fillId="0" borderId="0"/>
    <xf numFmtId="0" fontId="13" fillId="0" borderId="0"/>
    <xf numFmtId="0" fontId="45" fillId="0" borderId="0"/>
    <xf numFmtId="0" fontId="45" fillId="0" borderId="0"/>
    <xf numFmtId="0" fontId="13" fillId="0" borderId="0">
      <alignment vertical="center"/>
    </xf>
    <xf numFmtId="0" fontId="45" fillId="0" borderId="0"/>
    <xf numFmtId="0" fontId="13" fillId="0" borderId="0"/>
    <xf numFmtId="0" fontId="13" fillId="0" borderId="0"/>
    <xf numFmtId="0" fontId="45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4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3" fillId="0" borderId="0"/>
    <xf numFmtId="0" fontId="4" fillId="0" borderId="0"/>
    <xf numFmtId="0" fontId="13" fillId="0" borderId="0"/>
    <xf numFmtId="0" fontId="13" fillId="0" borderId="0"/>
    <xf numFmtId="0" fontId="46" fillId="0" borderId="0">
      <alignment vertical="center"/>
    </xf>
    <xf numFmtId="0" fontId="40" fillId="0" borderId="0"/>
    <xf numFmtId="0" fontId="13" fillId="0" borderId="0"/>
    <xf numFmtId="0" fontId="40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>
      <alignment vertical="center"/>
    </xf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13" fillId="28" borderId="18" applyNumberFormat="0" applyFont="0" applyAlignment="0" applyProtection="0"/>
    <xf numFmtId="0" fontId="4" fillId="7" borderId="10" applyNumberFormat="0" applyFont="0" applyAlignment="0" applyProtection="0"/>
    <xf numFmtId="0" fontId="13" fillId="28" borderId="18" applyNumberFormat="0" applyFont="0" applyAlignment="0" applyProtection="0"/>
    <xf numFmtId="0" fontId="4" fillId="7" borderId="10" applyNumberFormat="0" applyFont="0" applyAlignment="0" applyProtection="0"/>
    <xf numFmtId="0" fontId="13" fillId="28" borderId="18" applyNumberFormat="0" applyFont="0" applyAlignment="0" applyProtection="0"/>
    <xf numFmtId="0" fontId="13" fillId="28" borderId="18" applyNumberFormat="0" applyFont="0" applyAlignment="0" applyProtection="0"/>
    <xf numFmtId="0" fontId="13" fillId="28" borderId="18" applyNumberFormat="0" applyFont="0" applyAlignment="0" applyProtection="0"/>
    <xf numFmtId="0" fontId="13" fillId="28" borderId="18" applyNumberFormat="0" applyFon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40" borderId="19" applyNumberFormat="0" applyAlignment="0" applyProtection="0"/>
    <xf numFmtId="0" fontId="8" fillId="6" borderId="9" applyNumberFormat="0" applyAlignment="0" applyProtection="0"/>
    <xf numFmtId="0" fontId="27" fillId="40" borderId="19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5" fillId="0" borderId="5" applyNumberFormat="0" applyFill="0" applyAlignment="0" applyProtection="0"/>
    <xf numFmtId="0" fontId="32" fillId="0" borderId="20" applyNumberFormat="0" applyFill="0" applyAlignment="0" applyProtection="0"/>
    <xf numFmtId="0" fontId="33" fillId="0" borderId="16" applyNumberFormat="0" applyFill="0" applyAlignment="0" applyProtection="0"/>
    <xf numFmtId="0" fontId="6" fillId="0" borderId="6" applyNumberFormat="0" applyFill="0" applyAlignment="0" applyProtection="0"/>
    <xf numFmtId="0" fontId="33" fillId="0" borderId="16" applyNumberFormat="0" applyFill="0" applyAlignment="0" applyProtection="0"/>
    <xf numFmtId="0" fontId="34" fillId="0" borderId="21" applyNumberFormat="0" applyFill="0" applyAlignment="0" applyProtection="0"/>
    <xf numFmtId="0" fontId="7" fillId="0" borderId="7" applyNumberFormat="0" applyFill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1" fillId="0" borderId="11" applyNumberFormat="0" applyFill="0" applyAlignment="0" applyProtection="0"/>
    <xf numFmtId="0" fontId="35" fillId="0" borderId="22" applyNumberFormat="0" applyFill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43" fontId="13" fillId="0" borderId="0" applyFill="0" applyBorder="0" applyAlignment="0" applyProtection="0"/>
    <xf numFmtId="9" fontId="13" fillId="0" borderId="0" applyFont="0" applyFill="0" applyBorder="0" applyAlignment="0" applyProtection="0"/>
    <xf numFmtId="0" fontId="50" fillId="0" borderId="0"/>
    <xf numFmtId="0" fontId="13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1" fillId="5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1" fillId="5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1" fillId="52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1" fillId="53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1" fillId="54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1" fillId="52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1" fillId="54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1" fillId="5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1" fillId="5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1" fillId="5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1" fillId="54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1" fillId="52" borderId="0" applyNumberFormat="0" applyBorder="0" applyAlignment="0" applyProtection="0"/>
    <xf numFmtId="0" fontId="4" fillId="24" borderId="0" applyNumberFormat="0" applyBorder="0" applyAlignment="0" applyProtection="0"/>
    <xf numFmtId="0" fontId="52" fillId="54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56" borderId="0" applyNumberFormat="0" applyBorder="0" applyAlignment="0" applyProtection="0"/>
    <xf numFmtId="0" fontId="52" fillId="54" borderId="0" applyNumberFormat="0" applyBorder="0" applyAlignment="0" applyProtection="0"/>
    <xf numFmtId="0" fontId="52" fillId="51" borderId="0" applyNumberFormat="0" applyBorder="0" applyAlignment="0" applyProtection="0"/>
    <xf numFmtId="0" fontId="53" fillId="0" borderId="0" applyNumberFormat="0" applyFont="0" applyBorder="0" applyAlignment="0"/>
    <xf numFmtId="0" fontId="54" fillId="54" borderId="0" applyNumberFormat="0" applyBorder="0" applyAlignment="0" applyProtection="0"/>
    <xf numFmtId="0" fontId="55" fillId="59" borderId="12" applyNumberFormat="0" applyAlignment="0" applyProtection="0"/>
    <xf numFmtId="0" fontId="56" fillId="60" borderId="13" applyNumberFormat="0" applyAlignment="0" applyProtection="0"/>
    <xf numFmtId="0" fontId="57" fillId="0" borderId="32" applyNumberFormat="0" applyFill="0" applyAlignment="0" applyProtection="0"/>
    <xf numFmtId="172" fontId="58" fillId="0" borderId="0">
      <protection locked="0"/>
    </xf>
    <xf numFmtId="41" fontId="13" fillId="0" borderId="0" applyFont="0" applyFill="0" applyBorder="0" applyAlignment="0" applyProtection="0"/>
    <xf numFmtId="173" fontId="58" fillId="0" borderId="0">
      <protection locked="0"/>
    </xf>
    <xf numFmtId="174" fontId="58" fillId="0" borderId="0">
      <protection locked="0"/>
    </xf>
    <xf numFmtId="42" fontId="13" fillId="0" borderId="0" applyFont="0" applyFill="0" applyBorder="0" applyAlignment="0" applyProtection="0"/>
    <xf numFmtId="175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2" fillId="61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9" fillId="55" borderId="12" applyNumberForma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2" fillId="0" borderId="0"/>
    <xf numFmtId="0" fontId="51" fillId="0" borderId="0"/>
    <xf numFmtId="0" fontId="12" fillId="0" borderId="0"/>
    <xf numFmtId="9" fontId="12" fillId="0" borderId="0"/>
    <xf numFmtId="178" fontId="58" fillId="0" borderId="0">
      <protection locked="0"/>
    </xf>
    <xf numFmtId="178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6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ill="0" applyBorder="0" applyAlignment="0" applyProtection="0"/>
    <xf numFmtId="167" fontId="13" fillId="0" borderId="0" applyFill="0" applyBorder="0" applyAlignment="0" applyProtection="0"/>
    <xf numFmtId="0" fontId="62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13" fillId="52" borderId="18" applyNumberFormat="0" applyAlignment="0" applyProtection="0"/>
    <xf numFmtId="180" fontId="58" fillId="0" borderId="0">
      <protection locked="0"/>
    </xf>
    <xf numFmtId="180" fontId="58" fillId="0" borderId="0">
      <protection locked="0"/>
    </xf>
    <xf numFmtId="0" fontId="64" fillId="0" borderId="33" applyNumberFormat="0" applyFont="0" applyBorder="0" applyAlignment="0"/>
    <xf numFmtId="4" fontId="58" fillId="0" borderId="0">
      <protection locked="0"/>
    </xf>
    <xf numFmtId="172" fontId="58" fillId="0" borderId="0">
      <protection locked="0"/>
    </xf>
    <xf numFmtId="172" fontId="58" fillId="0" borderId="0">
      <protection locked="0"/>
    </xf>
    <xf numFmtId="172" fontId="58" fillId="0" borderId="0">
      <protection locked="0"/>
    </xf>
    <xf numFmtId="172" fontId="58" fillId="0" borderId="0">
      <protection locked="0"/>
    </xf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65" fillId="59" borderId="19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3" fillId="0" borderId="0" applyFill="0" applyBorder="0" applyAlignment="0" applyProtection="0"/>
    <xf numFmtId="5" fontId="12" fillId="0" borderId="0" applyFill="0" applyBorder="0" applyAlignment="0" applyProtection="0"/>
    <xf numFmtId="177" fontId="1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6" fillId="0" borderId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32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0" fillId="0" borderId="0" applyNumberFormat="0" applyFill="0" applyBorder="0" applyAlignment="0" applyProtection="0"/>
    <xf numFmtId="181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181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2" fillId="0" borderId="37" applyNumberFormat="0" applyFill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7" fillId="0" borderId="0" applyNumberFormat="0" applyBorder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5" fillId="41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43" borderId="0" applyNumberFormat="0" applyBorder="0" applyAlignment="0" applyProtection="0"/>
    <xf numFmtId="0" fontId="87" fillId="0" borderId="0" applyNumberFormat="0" applyBorder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49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15" fillId="70" borderId="0" applyNumberFormat="0" applyBorder="0" applyAlignment="0" applyProtection="0"/>
    <xf numFmtId="0" fontId="15" fillId="44" borderId="0" applyNumberFormat="0" applyBorder="0" applyAlignment="0" applyProtection="0"/>
    <xf numFmtId="0" fontId="12" fillId="68" borderId="0" applyNumberFormat="0" applyBorder="0" applyAlignment="0" applyProtection="0"/>
    <xf numFmtId="0" fontId="12" fillId="71" borderId="0" applyNumberFormat="0" applyBorder="0" applyAlignment="0" applyProtection="0"/>
    <xf numFmtId="0" fontId="15" fillId="69" borderId="0" applyNumberFormat="0" applyBorder="0" applyAlignment="0" applyProtection="0"/>
    <xf numFmtId="0" fontId="15" fillId="45" borderId="0" applyNumberFormat="0" applyBorder="0" applyAlignment="0" applyProtection="0"/>
    <xf numFmtId="0" fontId="12" fillId="66" borderId="0" applyNumberFormat="0" applyBorder="0" applyAlignment="0" applyProtection="0"/>
    <xf numFmtId="0" fontId="12" fillId="69" borderId="0" applyNumberFormat="0" applyBorder="0" applyAlignment="0" applyProtection="0"/>
    <xf numFmtId="0" fontId="15" fillId="69" borderId="0" applyNumberFormat="0" applyBorder="0" applyAlignment="0" applyProtection="0"/>
    <xf numFmtId="0" fontId="15" fillId="42" borderId="0" applyNumberFormat="0" applyBorder="0" applyAlignment="0" applyProtection="0"/>
    <xf numFmtId="0" fontId="12" fillId="72" borderId="0" applyNumberFormat="0" applyBorder="0" applyAlignment="0" applyProtection="0"/>
    <xf numFmtId="0" fontId="12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39" borderId="0" applyNumberFormat="0" applyBorder="0" applyAlignment="0" applyProtection="0"/>
    <xf numFmtId="0" fontId="12" fillId="68" borderId="0" applyNumberFormat="0" applyBorder="0" applyAlignment="0" applyProtection="0"/>
    <xf numFmtId="0" fontId="12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47" borderId="0" applyNumberFormat="0" applyBorder="0" applyAlignment="0" applyProtection="0"/>
    <xf numFmtId="184" fontId="73" fillId="74" borderId="0" applyBorder="0" applyAlignment="0" applyProtection="0"/>
    <xf numFmtId="0" fontId="20" fillId="32" borderId="0" applyNumberFormat="0" applyBorder="0" applyAlignment="0" applyProtection="0"/>
    <xf numFmtId="185" fontId="74" fillId="59" borderId="38">
      <alignment horizontal="center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40" borderId="12" applyNumberFormat="0" applyAlignment="0" applyProtection="0"/>
    <xf numFmtId="0" fontId="18" fillId="48" borderId="13" applyNumberFormat="0" applyAlignment="0" applyProtection="0"/>
    <xf numFmtId="0" fontId="25" fillId="0" borderId="14" applyNumberFormat="0" applyFill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7" fillId="0" borderId="0"/>
    <xf numFmtId="3" fontId="78" fillId="0" borderId="0" applyFont="0" applyFill="0" applyBorder="0" applyAlignment="0" applyProtection="0"/>
    <xf numFmtId="0" fontId="77" fillId="0" borderId="0"/>
    <xf numFmtId="3" fontId="30" fillId="64" borderId="0" applyProtection="0">
      <alignment horizontal="center" vertical="center"/>
    </xf>
    <xf numFmtId="0" fontId="13" fillId="0" borderId="0" applyFont="0" applyFill="0" applyProtection="0">
      <alignment vertical="top"/>
    </xf>
    <xf numFmtId="0" fontId="77" fillId="0" borderId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35" fillId="77" borderId="0" applyNumberFormat="0" applyBorder="0" applyAlignment="0" applyProtection="0"/>
    <xf numFmtId="0" fontId="15" fillId="49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24" fillId="27" borderId="12" applyNumberFormat="0" applyAlignment="0" applyProtection="0"/>
    <xf numFmtId="186" fontId="87" fillId="0" borderId="0" applyBorder="0" applyProtection="0"/>
    <xf numFmtId="186" fontId="87" fillId="0" borderId="0" applyBorder="0" applyProtection="0"/>
    <xf numFmtId="0" fontId="87" fillId="0" borderId="0" applyNumberFormat="0" applyBorder="0" applyProtection="0"/>
    <xf numFmtId="187" fontId="88" fillId="0" borderId="0" applyBorder="0" applyProtection="0"/>
    <xf numFmtId="184" fontId="73" fillId="78" borderId="0" applyBorder="0" applyAlignment="0" applyProtection="0"/>
    <xf numFmtId="4" fontId="13" fillId="0" borderId="39">
      <alignment horizontal="right"/>
    </xf>
    <xf numFmtId="188" fontId="14" fillId="0" borderId="0">
      <alignment horizontal="left"/>
    </xf>
    <xf numFmtId="189" fontId="14" fillId="0" borderId="0">
      <alignment horizontal="left"/>
    </xf>
    <xf numFmtId="2" fontId="13" fillId="0" borderId="0" applyFont="0" applyFill="0" applyProtection="0">
      <alignment vertical="top"/>
    </xf>
    <xf numFmtId="0" fontId="89" fillId="0" borderId="0" applyNumberFormat="0" applyBorder="0" applyProtection="0">
      <alignment horizontal="center"/>
    </xf>
    <xf numFmtId="0" fontId="89" fillId="0" borderId="0" applyNumberFormat="0" applyBorder="0" applyProtection="0">
      <alignment horizontal="center" textRotation="90"/>
    </xf>
    <xf numFmtId="184" fontId="73" fillId="79" borderId="0" applyBorder="0" applyAlignment="0" applyProtection="0"/>
    <xf numFmtId="0" fontId="16" fillId="31" borderId="0" applyNumberFormat="0" applyBorder="0" applyAlignment="0" applyProtection="0"/>
    <xf numFmtId="0" fontId="79" fillId="0" borderId="0"/>
    <xf numFmtId="167" fontId="8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13" fillId="0" borderId="0" applyFont="0" applyFill="0" applyBorder="0" applyAlignment="0" applyProtection="0"/>
    <xf numFmtId="3" fontId="13" fillId="0" borderId="0"/>
    <xf numFmtId="169" fontId="13" fillId="0" borderId="0" applyFont="0" applyFill="0" applyBorder="0" applyAlignment="0" applyProtection="0"/>
    <xf numFmtId="4" fontId="82" fillId="64" borderId="40" applyProtection="0">
      <alignment horizontal="right"/>
    </xf>
    <xf numFmtId="0" fontId="26" fillId="35" borderId="0" applyNumberFormat="0" applyBorder="0" applyAlignment="0" applyProtection="0"/>
    <xf numFmtId="185" fontId="83" fillId="80" borderId="38">
      <alignment horizontal="center" vertical="center"/>
    </xf>
    <xf numFmtId="0" fontId="77" fillId="0" borderId="0"/>
    <xf numFmtId="0" fontId="77" fillId="0" borderId="0"/>
    <xf numFmtId="0" fontId="77" fillId="0" borderId="0"/>
    <xf numFmtId="0" fontId="7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81" fillId="0" borderId="0"/>
    <xf numFmtId="0" fontId="13" fillId="0" borderId="0"/>
    <xf numFmtId="0" fontId="36" fillId="0" borderId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77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ill="0" applyAlignment="0" applyProtection="0"/>
    <xf numFmtId="9" fontId="4" fillId="0" borderId="0" applyFont="0" applyFill="0" applyBorder="0" applyAlignment="0" applyProtection="0"/>
    <xf numFmtId="0" fontId="90" fillId="0" borderId="0" applyNumberFormat="0" applyBorder="0" applyProtection="0"/>
    <xf numFmtId="190" fontId="90" fillId="0" borderId="0" applyBorder="0" applyProtection="0"/>
    <xf numFmtId="0" fontId="27" fillId="40" borderId="19" applyNumberFormat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191" fontId="49" fillId="0" borderId="0" applyFont="0" applyFill="0" applyBorder="0" applyAlignment="0" applyProtection="0"/>
    <xf numFmtId="191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5" fillId="0" borderId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2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22" applyNumberFormat="0" applyFill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13" fillId="0" borderId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3" fillId="0" borderId="0"/>
    <xf numFmtId="193" fontId="86" fillId="0" borderId="0"/>
    <xf numFmtId="9" fontId="4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44" fontId="13" fillId="0" borderId="0" applyFont="0" applyFill="0" applyBorder="0" applyAlignment="0" applyProtection="0"/>
    <xf numFmtId="194" fontId="77" fillId="0" borderId="0"/>
    <xf numFmtId="43" fontId="11" fillId="0" borderId="0" applyFon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3" fillId="0" borderId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0" fontId="4" fillId="7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1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1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03">
    <xf numFmtId="0" fontId="0" fillId="0" borderId="0" xfId="0"/>
    <xf numFmtId="2" fontId="0" fillId="0" borderId="0" xfId="0" applyNumberFormat="1"/>
    <xf numFmtId="0" fontId="91" fillId="0" borderId="30" xfId="188" applyFont="1" applyFill="1" applyBorder="1" applyAlignment="1">
      <alignment horizontal="center" vertical="center" wrapText="1"/>
    </xf>
    <xf numFmtId="0" fontId="91" fillId="0" borderId="31" xfId="188" applyFont="1" applyFill="1" applyBorder="1" applyAlignment="1">
      <alignment horizontal="center" vertical="center" wrapText="1"/>
    </xf>
    <xf numFmtId="0" fontId="91" fillId="0" borderId="30" xfId="188" applyFont="1" applyFill="1" applyBorder="1" applyAlignment="1">
      <alignment vertical="center" wrapText="1"/>
    </xf>
    <xf numFmtId="0" fontId="0" fillId="5" borderId="0" xfId="0" applyFill="1"/>
    <xf numFmtId="0" fontId="96" fillId="0" borderId="0" xfId="0" applyFont="1"/>
    <xf numFmtId="0" fontId="96" fillId="0" borderId="0" xfId="3292" applyFont="1" applyBorder="1"/>
    <xf numFmtId="0" fontId="100" fillId="82" borderId="30" xfId="3292" applyFont="1" applyFill="1" applyBorder="1" applyAlignment="1">
      <alignment horizontal="center"/>
    </xf>
    <xf numFmtId="3" fontId="100" fillId="82" borderId="30" xfId="3292" applyNumberFormat="1" applyFont="1" applyFill="1" applyBorder="1" applyAlignment="1">
      <alignment horizontal="center"/>
    </xf>
    <xf numFmtId="3" fontId="99" fillId="82" borderId="30" xfId="3292" applyNumberFormat="1" applyFont="1" applyFill="1" applyBorder="1" applyAlignment="1">
      <alignment horizontal="center"/>
    </xf>
    <xf numFmtId="0" fontId="96" fillId="83" borderId="30" xfId="3292" applyFont="1" applyFill="1" applyBorder="1"/>
    <xf numFmtId="0" fontId="101" fillId="0" borderId="30" xfId="3292" applyFont="1" applyFill="1" applyBorder="1"/>
    <xf numFmtId="3" fontId="101" fillId="0" borderId="30" xfId="3292" applyNumberFormat="1" applyFont="1" applyBorder="1"/>
    <xf numFmtId="4" fontId="101" fillId="0" borderId="30" xfId="3292" applyNumberFormat="1" applyFont="1" applyFill="1" applyBorder="1"/>
    <xf numFmtId="0" fontId="101" fillId="4" borderId="54" xfId="0" applyFont="1" applyFill="1" applyBorder="1"/>
    <xf numFmtId="3" fontId="101" fillId="4" borderId="30" xfId="3292" applyNumberFormat="1" applyFont="1" applyFill="1" applyBorder="1"/>
    <xf numFmtId="4" fontId="91" fillId="4" borderId="30" xfId="0" applyNumberFormat="1" applyFont="1" applyFill="1" applyBorder="1" applyAlignment="1"/>
    <xf numFmtId="0" fontId="101" fillId="4" borderId="55" xfId="0" applyFont="1" applyFill="1" applyBorder="1"/>
    <xf numFmtId="43" fontId="91" fillId="4" borderId="24" xfId="493" applyFont="1" applyFill="1" applyBorder="1" applyAlignment="1">
      <alignment horizontal="center" vertical="center"/>
    </xf>
    <xf numFmtId="0" fontId="91" fillId="4" borderId="51" xfId="188" applyFont="1" applyFill="1" applyBorder="1" applyAlignment="1">
      <alignment vertical="center"/>
    </xf>
    <xf numFmtId="0" fontId="91" fillId="4" borderId="23" xfId="188" applyFont="1" applyFill="1" applyBorder="1" applyAlignment="1">
      <alignment vertical="center"/>
    </xf>
    <xf numFmtId="0" fontId="103" fillId="3" borderId="64" xfId="1" applyNumberFormat="1" applyFont="1" applyFill="1" applyBorder="1" applyAlignment="1" applyProtection="1">
      <alignment horizontal="center" vertical="center" wrapText="1"/>
    </xf>
    <xf numFmtId="0" fontId="103" fillId="3" borderId="65" xfId="1" applyNumberFormat="1" applyFont="1" applyFill="1" applyBorder="1" applyAlignment="1" applyProtection="1">
      <alignment horizontal="left" vertical="center"/>
    </xf>
    <xf numFmtId="0" fontId="104" fillId="0" borderId="65" xfId="1" applyFont="1" applyBorder="1" applyAlignment="1">
      <alignment horizontal="center" vertical="center" wrapText="1"/>
    </xf>
    <xf numFmtId="0" fontId="103" fillId="3" borderId="65" xfId="1" applyNumberFormat="1" applyFont="1" applyFill="1" applyBorder="1" applyAlignment="1" applyProtection="1">
      <alignment horizontal="center" vertical="center" wrapText="1"/>
    </xf>
    <xf numFmtId="2" fontId="103" fillId="3" borderId="66" xfId="1" applyNumberFormat="1" applyFont="1" applyFill="1" applyBorder="1" applyAlignment="1" applyProtection="1">
      <alignment horizontal="center" vertical="center" wrapText="1"/>
    </xf>
    <xf numFmtId="0" fontId="105" fillId="85" borderId="1" xfId="0" applyFont="1" applyFill="1" applyBorder="1" applyAlignment="1">
      <alignment horizontal="left" vertical="top"/>
    </xf>
    <xf numFmtId="0" fontId="106" fillId="85" borderId="1" xfId="0" applyFont="1" applyFill="1" applyBorder="1" applyAlignment="1">
      <alignment horizontal="left" vertical="top" wrapText="1"/>
    </xf>
    <xf numFmtId="43" fontId="107" fillId="4" borderId="1" xfId="2" applyFont="1" applyFill="1" applyBorder="1"/>
    <xf numFmtId="43" fontId="107" fillId="4" borderId="57" xfId="2" applyFont="1" applyFill="1" applyBorder="1"/>
    <xf numFmtId="0" fontId="106" fillId="4" borderId="39" xfId="0" applyFont="1" applyFill="1" applyBorder="1" applyAlignment="1">
      <alignment horizontal="left" vertical="top" wrapText="1"/>
    </xf>
    <xf numFmtId="0" fontId="105" fillId="4" borderId="39" xfId="0" applyFont="1" applyFill="1" applyBorder="1" applyAlignment="1">
      <alignment horizontal="left" vertical="top"/>
    </xf>
    <xf numFmtId="0" fontId="107" fillId="2" borderId="1" xfId="1" applyFont="1" applyFill="1" applyBorder="1"/>
    <xf numFmtId="43" fontId="107" fillId="2" borderId="1" xfId="2" applyFont="1" applyFill="1" applyBorder="1"/>
    <xf numFmtId="43" fontId="107" fillId="2" borderId="57" xfId="2" applyFont="1" applyFill="1" applyBorder="1"/>
    <xf numFmtId="0" fontId="108" fillId="26" borderId="1" xfId="0" applyFont="1" applyFill="1" applyBorder="1" applyAlignment="1">
      <alignment horizontal="left" vertical="top" wrapText="1"/>
    </xf>
    <xf numFmtId="0" fontId="108" fillId="26" borderId="1" xfId="0" applyFont="1" applyFill="1" applyBorder="1" applyAlignment="1">
      <alignment horizontal="left" vertical="top"/>
    </xf>
    <xf numFmtId="0" fontId="108" fillId="26" borderId="1" xfId="0" applyFont="1" applyFill="1" applyBorder="1" applyAlignment="1">
      <alignment horizontal="center" vertical="top" wrapText="1"/>
    </xf>
    <xf numFmtId="43" fontId="108" fillId="26" borderId="1" xfId="2" applyFont="1" applyFill="1" applyBorder="1" applyAlignment="1">
      <alignment horizontal="right" vertical="top" wrapText="1"/>
    </xf>
    <xf numFmtId="43" fontId="109" fillId="0" borderId="1" xfId="2" applyFont="1" applyBorder="1"/>
    <xf numFmtId="43" fontId="109" fillId="0" borderId="1" xfId="2" applyFont="1" applyFill="1" applyBorder="1"/>
    <xf numFmtId="2" fontId="102" fillId="0" borderId="57" xfId="0" applyNumberFormat="1" applyFont="1" applyBorder="1"/>
    <xf numFmtId="0" fontId="106" fillId="4" borderId="39" xfId="0" applyFont="1" applyFill="1" applyBorder="1" applyAlignment="1">
      <alignment horizontal="center" vertical="top" wrapText="1"/>
    </xf>
    <xf numFmtId="43" fontId="106" fillId="4" borderId="39" xfId="2" applyFont="1" applyFill="1" applyBorder="1" applyAlignment="1">
      <alignment horizontal="right" vertical="top" wrapText="1"/>
    </xf>
    <xf numFmtId="0" fontId="109" fillId="0" borderId="1" xfId="1" applyFont="1" applyBorder="1" applyAlignment="1">
      <alignment horizontal="center"/>
    </xf>
    <xf numFmtId="0" fontId="110" fillId="84" borderId="1" xfId="0" applyFont="1" applyFill="1" applyBorder="1"/>
    <xf numFmtId="2" fontId="110" fillId="84" borderId="57" xfId="0" applyNumberFormat="1" applyFont="1" applyFill="1" applyBorder="1"/>
    <xf numFmtId="0" fontId="105" fillId="86" borderId="2" xfId="0" applyFont="1" applyFill="1" applyBorder="1" applyAlignment="1">
      <alignment horizontal="left" vertical="top"/>
    </xf>
    <xf numFmtId="0" fontId="106" fillId="86" borderId="2" xfId="0" applyFont="1" applyFill="1" applyBorder="1" applyAlignment="1">
      <alignment horizontal="left" vertical="top" wrapText="1"/>
    </xf>
    <xf numFmtId="0" fontId="106" fillId="86" borderId="2" xfId="0" applyFont="1" applyFill="1" applyBorder="1" applyAlignment="1">
      <alignment horizontal="center" vertical="top" wrapText="1"/>
    </xf>
    <xf numFmtId="43" fontId="106" fillId="86" borderId="2" xfId="2" applyFont="1" applyFill="1" applyBorder="1" applyAlignment="1">
      <alignment horizontal="right" vertical="top" wrapText="1"/>
    </xf>
    <xf numFmtId="0" fontId="105" fillId="4" borderId="1" xfId="0" applyFont="1" applyFill="1" applyBorder="1" applyAlignment="1">
      <alignment horizontal="left" vertical="top"/>
    </xf>
    <xf numFmtId="0" fontId="106" fillId="4" borderId="1" xfId="0" applyFont="1" applyFill="1" applyBorder="1" applyAlignment="1">
      <alignment horizontal="left" vertical="top" wrapText="1"/>
    </xf>
    <xf numFmtId="0" fontId="106" fillId="4" borderId="1" xfId="0" applyFont="1" applyFill="1" applyBorder="1" applyAlignment="1">
      <alignment horizontal="center" vertical="top" wrapText="1"/>
    </xf>
    <xf numFmtId="43" fontId="106" fillId="4" borderId="1" xfId="2" applyFont="1" applyFill="1" applyBorder="1" applyAlignment="1">
      <alignment horizontal="right" vertical="top" wrapText="1"/>
    </xf>
    <xf numFmtId="43" fontId="109" fillId="0" borderId="1" xfId="2" applyFont="1" applyBorder="1" applyAlignment="1"/>
    <xf numFmtId="0" fontId="109" fillId="0" borderId="1" xfId="1" applyFont="1" applyBorder="1"/>
    <xf numFmtId="0" fontId="109" fillId="0" borderId="1" xfId="1" applyFont="1" applyBorder="1" applyAlignment="1">
      <alignment wrapText="1"/>
    </xf>
    <xf numFmtId="2" fontId="110" fillId="84" borderId="3" xfId="0" applyNumberFormat="1" applyFont="1" applyFill="1" applyBorder="1"/>
    <xf numFmtId="43" fontId="108" fillId="0" borderId="1" xfId="2" applyFont="1" applyBorder="1" applyAlignment="1"/>
    <xf numFmtId="0" fontId="109" fillId="0" borderId="2" xfId="1" applyFont="1" applyBorder="1"/>
    <xf numFmtId="0" fontId="109" fillId="0" borderId="2" xfId="1" applyFont="1" applyBorder="1" applyAlignment="1">
      <alignment wrapText="1"/>
    </xf>
    <xf numFmtId="43" fontId="109" fillId="0" borderId="2" xfId="2" applyFont="1" applyBorder="1"/>
    <xf numFmtId="0" fontId="109" fillId="0" borderId="56" xfId="1" applyFont="1" applyBorder="1" applyAlignment="1">
      <alignment horizontal="center"/>
    </xf>
    <xf numFmtId="43" fontId="109" fillId="5" borderId="1" xfId="2" applyFont="1" applyFill="1" applyBorder="1" applyAlignment="1"/>
    <xf numFmtId="0" fontId="102" fillId="5" borderId="1" xfId="0" applyFont="1" applyFill="1" applyBorder="1" applyAlignment="1">
      <alignment horizontal="center"/>
    </xf>
    <xf numFmtId="0" fontId="106" fillId="5" borderId="39" xfId="0" applyFont="1" applyFill="1" applyBorder="1" applyAlignment="1">
      <alignment horizontal="left" vertical="top" wrapText="1"/>
    </xf>
    <xf numFmtId="0" fontId="105" fillId="5" borderId="39" xfId="0" applyFont="1" applyFill="1" applyBorder="1" applyAlignment="1">
      <alignment horizontal="left" vertical="top"/>
    </xf>
    <xf numFmtId="0" fontId="106" fillId="5" borderId="39" xfId="0" applyFont="1" applyFill="1" applyBorder="1" applyAlignment="1">
      <alignment horizontal="center" vertical="top" wrapText="1"/>
    </xf>
    <xf numFmtId="43" fontId="106" fillId="5" borderId="39" xfId="2" applyFont="1" applyFill="1" applyBorder="1" applyAlignment="1">
      <alignment horizontal="right" vertical="top" wrapText="1"/>
    </xf>
    <xf numFmtId="43" fontId="106" fillId="4" borderId="72" xfId="2" applyFont="1" applyFill="1" applyBorder="1" applyAlignment="1">
      <alignment horizontal="right" vertical="top" wrapText="1"/>
    </xf>
    <xf numFmtId="0" fontId="102" fillId="5" borderId="56" xfId="0" applyFont="1" applyFill="1" applyBorder="1" applyAlignment="1">
      <alignment horizontal="center"/>
    </xf>
    <xf numFmtId="43" fontId="108" fillId="5" borderId="1" xfId="2" applyFont="1" applyFill="1" applyBorder="1" applyAlignment="1"/>
    <xf numFmtId="0" fontId="108" fillId="26" borderId="4" xfId="0" applyFont="1" applyFill="1" applyBorder="1" applyAlignment="1">
      <alignment horizontal="left" vertical="top" wrapText="1"/>
    </xf>
    <xf numFmtId="0" fontId="111" fillId="2" borderId="1" xfId="1" applyFont="1" applyFill="1" applyBorder="1" applyAlignment="1">
      <alignment horizontal="left" vertical="top" wrapText="1"/>
    </xf>
    <xf numFmtId="0" fontId="111" fillId="2" borderId="1" xfId="1" applyFont="1" applyFill="1" applyBorder="1" applyAlignment="1">
      <alignment horizontal="left" vertical="top"/>
    </xf>
    <xf numFmtId="0" fontId="112" fillId="2" borderId="3" xfId="1" applyFont="1" applyFill="1" applyBorder="1" applyAlignment="1">
      <alignment horizontal="left" vertical="top" wrapText="1"/>
    </xf>
    <xf numFmtId="0" fontId="112" fillId="2" borderId="52" xfId="1" applyFont="1" applyFill="1" applyBorder="1" applyAlignment="1">
      <alignment horizontal="left" vertical="top" wrapText="1"/>
    </xf>
    <xf numFmtId="43" fontId="112" fillId="2" borderId="52" xfId="2" applyFont="1" applyFill="1" applyBorder="1" applyAlignment="1">
      <alignment horizontal="left" vertical="top" wrapText="1"/>
    </xf>
    <xf numFmtId="43" fontId="102" fillId="2" borderId="4" xfId="2" applyFont="1" applyFill="1" applyBorder="1"/>
    <xf numFmtId="0" fontId="109" fillId="26" borderId="1" xfId="1" applyFont="1" applyFill="1" applyBorder="1" applyAlignment="1">
      <alignment horizontal="left" vertical="top" wrapText="1"/>
    </xf>
    <xf numFmtId="0" fontId="112" fillId="26" borderId="1" xfId="1" applyFont="1" applyFill="1" applyBorder="1" applyAlignment="1">
      <alignment horizontal="left" vertical="top" wrapText="1"/>
    </xf>
    <xf numFmtId="43" fontId="109" fillId="26" borderId="1" xfId="2" applyFont="1" applyFill="1" applyBorder="1" applyAlignment="1">
      <alignment horizontal="center" vertical="top" wrapText="1"/>
    </xf>
    <xf numFmtId="43" fontId="109" fillId="26" borderId="1" xfId="2" applyFont="1" applyFill="1" applyBorder="1" applyAlignment="1">
      <alignment horizontal="right" vertical="top" wrapText="1"/>
    </xf>
    <xf numFmtId="0" fontId="108" fillId="26" borderId="2" xfId="0" applyFont="1" applyFill="1" applyBorder="1" applyAlignment="1">
      <alignment horizontal="left" vertical="top" wrapText="1"/>
    </xf>
    <xf numFmtId="0" fontId="108" fillId="26" borderId="2" xfId="0" applyFont="1" applyFill="1" applyBorder="1" applyAlignment="1">
      <alignment horizontal="left" vertical="top"/>
    </xf>
    <xf numFmtId="0" fontId="108" fillId="26" borderId="2" xfId="0" applyFont="1" applyFill="1" applyBorder="1" applyAlignment="1">
      <alignment horizontal="center" vertical="top" wrapText="1"/>
    </xf>
    <xf numFmtId="43" fontId="108" fillId="26" borderId="2" xfId="2" applyFont="1" applyFill="1" applyBorder="1" applyAlignment="1">
      <alignment horizontal="right" vertical="top" wrapText="1"/>
    </xf>
    <xf numFmtId="0" fontId="105" fillId="86" borderId="1" xfId="0" applyFont="1" applyFill="1" applyBorder="1" applyAlignment="1">
      <alignment horizontal="left" vertical="top"/>
    </xf>
    <xf numFmtId="0" fontId="106" fillId="86" borderId="1" xfId="0" applyFont="1" applyFill="1" applyBorder="1" applyAlignment="1">
      <alignment horizontal="left" vertical="top" wrapText="1"/>
    </xf>
    <xf numFmtId="0" fontId="106" fillId="86" borderId="1" xfId="0" applyFont="1" applyFill="1" applyBorder="1" applyAlignment="1">
      <alignment horizontal="center" vertical="top" wrapText="1"/>
    </xf>
    <xf numFmtId="43" fontId="106" fillId="86" borderId="1" xfId="2" applyFont="1" applyFill="1" applyBorder="1" applyAlignment="1">
      <alignment horizontal="right" vertical="top" wrapText="1"/>
    </xf>
    <xf numFmtId="0" fontId="113" fillId="26" borderId="1" xfId="0" applyFont="1" applyFill="1" applyBorder="1" applyAlignment="1">
      <alignment horizontal="left" vertical="top" wrapText="1"/>
    </xf>
    <xf numFmtId="0" fontId="113" fillId="26" borderId="1" xfId="0" applyFont="1" applyFill="1" applyBorder="1" applyAlignment="1">
      <alignment horizontal="left" vertical="top"/>
    </xf>
    <xf numFmtId="0" fontId="113" fillId="26" borderId="1" xfId="0" applyFont="1" applyFill="1" applyBorder="1" applyAlignment="1">
      <alignment horizontal="center" vertical="top" wrapText="1"/>
    </xf>
    <xf numFmtId="43" fontId="113" fillId="26" borderId="1" xfId="2" applyFont="1" applyFill="1" applyBorder="1" applyAlignment="1">
      <alignment horizontal="right" vertical="top" wrapText="1"/>
    </xf>
    <xf numFmtId="43" fontId="113" fillId="0" borderId="1" xfId="2" applyFont="1" applyBorder="1"/>
    <xf numFmtId="43" fontId="113" fillId="5" borderId="1" xfId="2" applyFont="1" applyFill="1" applyBorder="1" applyAlignment="1"/>
    <xf numFmtId="2" fontId="114" fillId="0" borderId="57" xfId="0" applyNumberFormat="1" applyFont="1" applyBorder="1"/>
    <xf numFmtId="0" fontId="108" fillId="5" borderId="4" xfId="0" applyFont="1" applyFill="1" applyBorder="1" applyAlignment="1">
      <alignment horizontal="left" vertical="top" wrapText="1"/>
    </xf>
    <xf numFmtId="0" fontId="108" fillId="5" borderId="1" xfId="0" applyFont="1" applyFill="1" applyBorder="1" applyAlignment="1">
      <alignment horizontal="left" vertical="top"/>
    </xf>
    <xf numFmtId="0" fontId="108" fillId="5" borderId="1" xfId="0" applyFont="1" applyFill="1" applyBorder="1" applyAlignment="1">
      <alignment horizontal="left" vertical="top" wrapText="1"/>
    </xf>
    <xf numFmtId="0" fontId="108" fillId="5" borderId="1" xfId="0" applyFont="1" applyFill="1" applyBorder="1" applyAlignment="1">
      <alignment horizontal="center" vertical="top" wrapText="1"/>
    </xf>
    <xf numFmtId="43" fontId="108" fillId="5" borderId="1" xfId="2" applyFont="1" applyFill="1" applyBorder="1" applyAlignment="1">
      <alignment horizontal="right" vertical="top" wrapText="1"/>
    </xf>
    <xf numFmtId="0" fontId="107" fillId="4" borderId="56" xfId="1" applyFont="1" applyFill="1" applyBorder="1"/>
    <xf numFmtId="0" fontId="107" fillId="4" borderId="1" xfId="1" applyFont="1" applyFill="1" applyBorder="1" applyAlignment="1"/>
    <xf numFmtId="0" fontId="107" fillId="4" borderId="1" xfId="1" applyFont="1" applyFill="1" applyBorder="1" applyAlignment="1">
      <alignment wrapText="1"/>
    </xf>
    <xf numFmtId="43" fontId="109" fillId="5" borderId="1" xfId="2" applyFont="1" applyFill="1" applyBorder="1"/>
    <xf numFmtId="0" fontId="102" fillId="0" borderId="1" xfId="0" applyFont="1" applyBorder="1" applyAlignment="1">
      <alignment horizontal="center"/>
    </xf>
    <xf numFmtId="0" fontId="107" fillId="2" borderId="56" xfId="1" applyFont="1" applyFill="1" applyBorder="1" applyAlignment="1">
      <alignment horizontal="left" vertical="top" wrapText="1"/>
    </xf>
    <xf numFmtId="0" fontId="115" fillId="2" borderId="1" xfId="1" applyFont="1" applyFill="1" applyBorder="1" applyAlignment="1">
      <alignment horizontal="left" vertical="top"/>
    </xf>
    <xf numFmtId="0" fontId="107" fillId="2" borderId="1" xfId="1" applyFont="1" applyFill="1" applyBorder="1" applyAlignment="1">
      <alignment wrapText="1"/>
    </xf>
    <xf numFmtId="0" fontId="109" fillId="0" borderId="56" xfId="1" applyFont="1" applyBorder="1"/>
    <xf numFmtId="43" fontId="109" fillId="0" borderId="1" xfId="2" applyFont="1" applyFill="1" applyBorder="1" applyAlignment="1"/>
    <xf numFmtId="0" fontId="102" fillId="0" borderId="4" xfId="0" applyFont="1" applyBorder="1" applyAlignment="1">
      <alignment horizontal="center"/>
    </xf>
    <xf numFmtId="43" fontId="107" fillId="4" borderId="3" xfId="2" applyFont="1" applyFill="1" applyBorder="1"/>
    <xf numFmtId="43" fontId="107" fillId="2" borderId="3" xfId="2" applyFont="1" applyFill="1" applyBorder="1"/>
    <xf numFmtId="0" fontId="102" fillId="0" borderId="69" xfId="0" applyFont="1" applyBorder="1" applyAlignment="1">
      <alignment horizontal="center"/>
    </xf>
    <xf numFmtId="0" fontId="110" fillId="84" borderId="70" xfId="0" applyFont="1" applyFill="1" applyBorder="1"/>
    <xf numFmtId="2" fontId="110" fillId="84" borderId="59" xfId="0" applyNumberFormat="1" applyFont="1" applyFill="1" applyBorder="1"/>
    <xf numFmtId="0" fontId="102" fillId="0" borderId="0" xfId="0" applyFont="1"/>
    <xf numFmtId="2" fontId="110" fillId="4" borderId="43" xfId="0" applyNumberFormat="1" applyFont="1" applyFill="1" applyBorder="1"/>
    <xf numFmtId="0" fontId="110" fillId="0" borderId="0" xfId="0" applyFont="1" applyAlignment="1">
      <alignment horizontal="center"/>
    </xf>
    <xf numFmtId="0" fontId="110" fillId="0" borderId="0" xfId="0" applyFont="1"/>
    <xf numFmtId="2" fontId="102" fillId="0" borderId="0" xfId="0" applyNumberFormat="1" applyFont="1"/>
    <xf numFmtId="0" fontId="110" fillId="5" borderId="0" xfId="0" applyFont="1" applyFill="1" applyBorder="1" applyAlignment="1">
      <alignment horizontal="left"/>
    </xf>
    <xf numFmtId="2" fontId="110" fillId="5" borderId="0" xfId="0" applyNumberFormat="1" applyFont="1" applyFill="1" applyBorder="1"/>
    <xf numFmtId="0" fontId="110" fillId="0" borderId="0" xfId="0" applyFont="1" applyAlignment="1">
      <alignment horizontal="center"/>
    </xf>
    <xf numFmtId="0" fontId="102" fillId="0" borderId="58" xfId="0" applyFont="1" applyBorder="1" applyAlignment="1">
      <alignment horizontal="center"/>
    </xf>
    <xf numFmtId="0" fontId="102" fillId="0" borderId="52" xfId="0" applyFont="1" applyBorder="1" applyAlignment="1">
      <alignment horizontal="center"/>
    </xf>
    <xf numFmtId="0" fontId="102" fillId="0" borderId="4" xfId="0" applyFont="1" applyBorder="1" applyAlignment="1">
      <alignment horizontal="center"/>
    </xf>
    <xf numFmtId="0" fontId="109" fillId="0" borderId="56" xfId="1" applyFont="1" applyBorder="1" applyAlignment="1">
      <alignment horizontal="center"/>
    </xf>
    <xf numFmtId="0" fontId="109" fillId="0" borderId="1" xfId="1" applyFont="1" applyBorder="1" applyAlignment="1">
      <alignment horizontal="center"/>
    </xf>
    <xf numFmtId="0" fontId="92" fillId="81" borderId="26" xfId="3" applyNumberFormat="1" applyFont="1" applyFill="1" applyBorder="1" applyAlignment="1" applyProtection="1">
      <alignment horizontal="center" vertical="center" wrapText="1"/>
    </xf>
    <xf numFmtId="0" fontId="92" fillId="81" borderId="27" xfId="3" applyNumberFormat="1" applyFont="1" applyFill="1" applyBorder="1" applyAlignment="1" applyProtection="1">
      <alignment horizontal="center" vertical="center" wrapText="1"/>
    </xf>
    <xf numFmtId="0" fontId="92" fillId="81" borderId="42" xfId="3" applyNumberFormat="1" applyFont="1" applyFill="1" applyBorder="1" applyAlignment="1" applyProtection="1">
      <alignment horizontal="center" vertical="center" wrapText="1"/>
    </xf>
    <xf numFmtId="0" fontId="93" fillId="81" borderId="29" xfId="3" applyFont="1" applyFill="1" applyBorder="1" applyAlignment="1">
      <alignment horizontal="center"/>
    </xf>
    <xf numFmtId="0" fontId="93" fillId="81" borderId="0" xfId="3" applyFont="1" applyFill="1" applyBorder="1" applyAlignment="1">
      <alignment horizontal="center"/>
    </xf>
    <xf numFmtId="0" fontId="93" fillId="81" borderId="41" xfId="3" applyFont="1" applyFill="1" applyBorder="1" applyAlignment="1">
      <alignment horizontal="center"/>
    </xf>
    <xf numFmtId="0" fontId="94" fillId="81" borderId="29" xfId="3" applyFont="1" applyFill="1" applyBorder="1" applyAlignment="1">
      <alignment horizontal="center" vertical="center"/>
    </xf>
    <xf numFmtId="0" fontId="94" fillId="81" borderId="0" xfId="3" applyFont="1" applyFill="1" applyBorder="1" applyAlignment="1">
      <alignment horizontal="center" vertical="center"/>
    </xf>
    <xf numFmtId="0" fontId="94" fillId="81" borderId="41" xfId="3" applyFont="1" applyFill="1" applyBorder="1" applyAlignment="1">
      <alignment horizontal="center" vertical="center"/>
    </xf>
    <xf numFmtId="0" fontId="48" fillId="5" borderId="29" xfId="188" applyFont="1" applyFill="1" applyBorder="1" applyAlignment="1">
      <alignment horizontal="center"/>
    </xf>
    <xf numFmtId="0" fontId="48" fillId="5" borderId="0" xfId="188" applyFont="1" applyFill="1" applyBorder="1" applyAlignment="1">
      <alignment horizontal="center"/>
    </xf>
    <xf numFmtId="0" fontId="48" fillId="5" borderId="41" xfId="188" applyFont="1" applyFill="1" applyBorder="1" applyAlignment="1">
      <alignment horizontal="center"/>
    </xf>
    <xf numFmtId="0" fontId="91" fillId="0" borderId="29" xfId="188" applyFont="1" applyFill="1" applyBorder="1" applyAlignment="1">
      <alignment horizontal="center" vertical="center" wrapText="1"/>
    </xf>
    <xf numFmtId="0" fontId="91" fillId="0" borderId="0" xfId="188" applyFont="1" applyFill="1" applyBorder="1" applyAlignment="1">
      <alignment horizontal="center" vertical="center" wrapText="1"/>
    </xf>
    <xf numFmtId="0" fontId="91" fillId="0" borderId="41" xfId="188" applyFont="1" applyFill="1" applyBorder="1" applyAlignment="1">
      <alignment horizontal="center" vertical="center" wrapText="1"/>
    </xf>
    <xf numFmtId="0" fontId="91" fillId="4" borderId="23" xfId="188" applyFont="1" applyFill="1" applyBorder="1" applyAlignment="1">
      <alignment horizontal="center" vertical="center" wrapText="1"/>
    </xf>
    <xf numFmtId="0" fontId="91" fillId="4" borderId="25" xfId="188" applyFont="1" applyFill="1" applyBorder="1" applyAlignment="1">
      <alignment horizontal="center" vertical="center" wrapText="1"/>
    </xf>
    <xf numFmtId="49" fontId="91" fillId="4" borderId="23" xfId="493" quotePrefix="1" applyNumberFormat="1" applyFont="1" applyFill="1" applyBorder="1" applyAlignment="1">
      <alignment horizontal="center" vertical="center"/>
    </xf>
    <xf numFmtId="49" fontId="91" fillId="4" borderId="24" xfId="493" quotePrefix="1" applyNumberFormat="1" applyFont="1" applyFill="1" applyBorder="1" applyAlignment="1">
      <alignment horizontal="center" vertical="center"/>
    </xf>
    <xf numFmtId="49" fontId="91" fillId="4" borderId="25" xfId="493" quotePrefix="1" applyNumberFormat="1" applyFont="1" applyFill="1" applyBorder="1" applyAlignment="1">
      <alignment horizontal="center" vertical="center"/>
    </xf>
    <xf numFmtId="0" fontId="91" fillId="4" borderId="23" xfId="188" applyFont="1" applyFill="1" applyBorder="1" applyAlignment="1">
      <alignment horizontal="center" vertical="center"/>
    </xf>
    <xf numFmtId="0" fontId="91" fillId="4" borderId="25" xfId="188" applyFont="1" applyFill="1" applyBorder="1" applyAlignment="1">
      <alignment horizontal="center" vertical="center"/>
    </xf>
    <xf numFmtId="0" fontId="110" fillId="4" borderId="62" xfId="0" applyFont="1" applyFill="1" applyBorder="1" applyAlignment="1">
      <alignment horizontal="left"/>
    </xf>
    <xf numFmtId="0" fontId="110" fillId="4" borderId="71" xfId="0" applyFont="1" applyFill="1" applyBorder="1" applyAlignment="1">
      <alignment horizontal="left"/>
    </xf>
    <xf numFmtId="0" fontId="110" fillId="4" borderId="63" xfId="0" applyFont="1" applyFill="1" applyBorder="1" applyAlignment="1">
      <alignment horizontal="left"/>
    </xf>
    <xf numFmtId="0" fontId="102" fillId="0" borderId="60" xfId="0" applyFont="1" applyBorder="1" applyAlignment="1">
      <alignment horizontal="center"/>
    </xf>
    <xf numFmtId="0" fontId="102" fillId="0" borderId="2" xfId="0" applyFont="1" applyBorder="1" applyAlignment="1">
      <alignment horizontal="center"/>
    </xf>
    <xf numFmtId="0" fontId="102" fillId="0" borderId="61" xfId="0" applyFont="1" applyBorder="1" applyAlignment="1">
      <alignment horizontal="center"/>
    </xf>
    <xf numFmtId="0" fontId="102" fillId="0" borderId="67" xfId="0" applyFont="1" applyBorder="1" applyAlignment="1">
      <alignment horizontal="center"/>
    </xf>
    <xf numFmtId="0" fontId="102" fillId="0" borderId="68" xfId="0" applyFont="1" applyBorder="1" applyAlignment="1">
      <alignment horizontal="center"/>
    </xf>
    <xf numFmtId="0" fontId="102" fillId="0" borderId="69" xfId="0" applyFont="1" applyBorder="1" applyAlignment="1">
      <alignment horizontal="center"/>
    </xf>
    <xf numFmtId="0" fontId="102" fillId="5" borderId="56" xfId="0" applyFont="1" applyFill="1" applyBorder="1" applyAlignment="1">
      <alignment horizontal="center"/>
    </xf>
    <xf numFmtId="0" fontId="102" fillId="5" borderId="1" xfId="0" applyFont="1" applyFill="1" applyBorder="1" applyAlignment="1">
      <alignment horizontal="center"/>
    </xf>
    <xf numFmtId="0" fontId="102" fillId="0" borderId="56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3" fontId="101" fillId="0" borderId="30" xfId="3292" applyNumberFormat="1" applyFont="1" applyFill="1" applyBorder="1" applyAlignment="1">
      <alignment horizontal="center" vertical="center"/>
    </xf>
    <xf numFmtId="0" fontId="101" fillId="0" borderId="30" xfId="3292" applyFont="1" applyBorder="1" applyAlignment="1">
      <alignment horizontal="center" vertical="center"/>
    </xf>
    <xf numFmtId="3" fontId="101" fillId="0" borderId="30" xfId="3292" applyNumberFormat="1" applyFont="1" applyBorder="1" applyAlignment="1">
      <alignment horizontal="center" vertical="center"/>
    </xf>
    <xf numFmtId="0" fontId="101" fillId="0" borderId="30" xfId="3292" applyFont="1" applyBorder="1" applyAlignment="1">
      <alignment horizontal="left" vertical="center"/>
    </xf>
    <xf numFmtId="4" fontId="101" fillId="84" borderId="30" xfId="3292" applyNumberFormat="1" applyFont="1" applyFill="1" applyBorder="1" applyAlignment="1">
      <alignment horizontal="right" vertical="center"/>
    </xf>
    <xf numFmtId="0" fontId="101" fillId="84" borderId="30" xfId="3292" applyFont="1" applyFill="1" applyBorder="1" applyAlignment="1">
      <alignment horizontal="right" vertical="center"/>
    </xf>
    <xf numFmtId="0" fontId="91" fillId="4" borderId="44" xfId="0" applyFont="1" applyFill="1" applyBorder="1" applyAlignment="1">
      <alignment horizontal="right" vertical="center" wrapText="1"/>
    </xf>
    <xf numFmtId="0" fontId="91" fillId="4" borderId="48" xfId="0" applyFont="1" applyFill="1" applyBorder="1" applyAlignment="1">
      <alignment horizontal="right" vertical="center" wrapText="1"/>
    </xf>
    <xf numFmtId="4" fontId="91" fillId="4" borderId="46" xfId="0" applyNumberFormat="1" applyFont="1" applyFill="1" applyBorder="1" applyAlignment="1">
      <alignment horizontal="center" vertical="center"/>
    </xf>
    <xf numFmtId="4" fontId="91" fillId="4" borderId="50" xfId="0" applyNumberFormat="1" applyFont="1" applyFill="1" applyBorder="1" applyAlignment="1">
      <alignment horizontal="center" vertical="center"/>
    </xf>
    <xf numFmtId="0" fontId="101" fillId="4" borderId="46" xfId="0" applyFont="1" applyFill="1" applyBorder="1" applyAlignment="1">
      <alignment horizontal="center" vertical="center"/>
    </xf>
    <xf numFmtId="0" fontId="101" fillId="4" borderId="50" xfId="0" applyFont="1" applyFill="1" applyBorder="1" applyAlignment="1">
      <alignment horizontal="center" vertical="center"/>
    </xf>
    <xf numFmtId="0" fontId="101" fillId="4" borderId="30" xfId="0" applyFont="1" applyFill="1" applyBorder="1" applyAlignment="1">
      <alignment horizontal="center" vertical="center"/>
    </xf>
    <xf numFmtId="0" fontId="95" fillId="81" borderId="29" xfId="0" applyNumberFormat="1" applyFont="1" applyFill="1" applyBorder="1" applyAlignment="1" applyProtection="1">
      <alignment horizontal="center" vertical="center" wrapText="1"/>
    </xf>
    <xf numFmtId="0" fontId="95" fillId="81" borderId="0" xfId="0" applyNumberFormat="1" applyFont="1" applyFill="1" applyBorder="1" applyAlignment="1" applyProtection="1">
      <alignment horizontal="center" vertical="center" wrapText="1"/>
    </xf>
    <xf numFmtId="0" fontId="97" fillId="81" borderId="29" xfId="0" applyFont="1" applyFill="1" applyBorder="1" applyAlignment="1">
      <alignment horizontal="center"/>
    </xf>
    <xf numFmtId="0" fontId="97" fillId="81" borderId="0" xfId="0" applyFont="1" applyFill="1" applyBorder="1" applyAlignment="1">
      <alignment horizontal="center"/>
    </xf>
    <xf numFmtId="0" fontId="98" fillId="81" borderId="29" xfId="0" applyFont="1" applyFill="1" applyBorder="1" applyAlignment="1">
      <alignment horizontal="center" vertical="center"/>
    </xf>
    <xf numFmtId="0" fontId="98" fillId="81" borderId="0" xfId="0" applyFont="1" applyFill="1" applyBorder="1" applyAlignment="1">
      <alignment horizontal="center" vertical="center"/>
    </xf>
    <xf numFmtId="0" fontId="91" fillId="0" borderId="53" xfId="188" applyFont="1" applyFill="1" applyBorder="1" applyAlignment="1">
      <alignment horizontal="center" vertical="center" wrapText="1"/>
    </xf>
    <xf numFmtId="0" fontId="91" fillId="0" borderId="48" xfId="188" applyFont="1" applyFill="1" applyBorder="1" applyAlignment="1">
      <alignment horizontal="center" vertical="center" wrapText="1"/>
    </xf>
    <xf numFmtId="0" fontId="91" fillId="83" borderId="44" xfId="3292" applyFont="1" applyFill="1" applyBorder="1" applyAlignment="1">
      <alignment horizontal="left" vertical="center"/>
    </xf>
    <xf numFmtId="0" fontId="91" fillId="83" borderId="45" xfId="3292" applyFont="1" applyFill="1" applyBorder="1" applyAlignment="1">
      <alignment horizontal="left" vertical="center"/>
    </xf>
    <xf numFmtId="0" fontId="91" fillId="83" borderId="48" xfId="3292" applyFont="1" applyFill="1" applyBorder="1" applyAlignment="1">
      <alignment horizontal="left" vertical="center"/>
    </xf>
    <xf numFmtId="0" fontId="91" fillId="83" borderId="49" xfId="3292" applyFont="1" applyFill="1" applyBorder="1" applyAlignment="1">
      <alignment horizontal="left" vertical="center"/>
    </xf>
    <xf numFmtId="0" fontId="101" fillId="83" borderId="46" xfId="3292" applyFont="1" applyFill="1" applyBorder="1" applyAlignment="1">
      <alignment horizontal="center" vertical="center"/>
    </xf>
    <xf numFmtId="0" fontId="101" fillId="83" borderId="50" xfId="3292" applyFont="1" applyFill="1" applyBorder="1" applyAlignment="1">
      <alignment horizontal="center" vertical="center"/>
    </xf>
    <xf numFmtId="3" fontId="101" fillId="83" borderId="46" xfId="3292" applyNumberFormat="1" applyFont="1" applyFill="1" applyBorder="1" applyAlignment="1">
      <alignment horizontal="center" vertical="center"/>
    </xf>
    <xf numFmtId="3" fontId="101" fillId="83" borderId="47" xfId="3292" applyNumberFormat="1" applyFont="1" applyFill="1" applyBorder="1" applyAlignment="1">
      <alignment horizontal="right" vertical="center"/>
    </xf>
    <xf numFmtId="0" fontId="101" fillId="83" borderId="50" xfId="3292" applyFont="1" applyFill="1" applyBorder="1" applyAlignment="1">
      <alignment horizontal="right" vertical="center"/>
    </xf>
    <xf numFmtId="0" fontId="99" fillId="0" borderId="31" xfId="3292" applyFont="1" applyBorder="1" applyAlignment="1">
      <alignment horizontal="center"/>
    </xf>
    <xf numFmtId="0" fontId="99" fillId="0" borderId="28" xfId="3292" applyFont="1" applyBorder="1" applyAlignment="1">
      <alignment horizontal="center"/>
    </xf>
    <xf numFmtId="0" fontId="48" fillId="0" borderId="29" xfId="3292" applyFont="1" applyBorder="1" applyAlignment="1">
      <alignment horizontal="center" vertical="center"/>
    </xf>
    <xf numFmtId="0" fontId="48" fillId="0" borderId="0" xfId="3292" applyFont="1" applyBorder="1" applyAlignment="1">
      <alignment horizontal="center" vertic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3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142875</xdr:colOff>
      <xdr:row>2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tabSelected="1" zoomScaleNormal="100" workbookViewId="0">
      <selection activeCell="E327" sqref="E327"/>
    </sheetView>
  </sheetViews>
  <sheetFormatPr defaultRowHeight="15"/>
  <cols>
    <col min="1" max="1" width="13" customWidth="1"/>
    <col min="2" max="2" width="1.140625" customWidth="1"/>
    <col min="3" max="3" width="52.7109375" customWidth="1"/>
    <col min="4" max="4" width="6.140625" customWidth="1"/>
    <col min="5" max="5" width="11.28515625" bestFit="1" customWidth="1"/>
    <col min="6" max="6" width="11" customWidth="1"/>
    <col min="7" max="9" width="11.42578125" customWidth="1"/>
    <col min="10" max="10" width="13.28515625" style="1" customWidth="1"/>
  </cols>
  <sheetData>
    <row r="1" spans="1:10" ht="60.75" customHeight="1">
      <c r="A1" s="134" t="s">
        <v>26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>
      <c r="A2" s="137" t="s">
        <v>27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>
      <c r="A3" s="140" t="s">
        <v>28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 ht="18">
      <c r="A4" s="143" t="s">
        <v>29</v>
      </c>
      <c r="B4" s="144"/>
      <c r="C4" s="144"/>
      <c r="D4" s="144"/>
      <c r="E4" s="144"/>
      <c r="F4" s="144"/>
      <c r="G4" s="144"/>
      <c r="H4" s="144"/>
      <c r="I4" s="144"/>
      <c r="J4" s="145"/>
    </row>
    <row r="5" spans="1:10" ht="16.5" customHeight="1" thickBot="1">
      <c r="A5" s="146" t="s">
        <v>53</v>
      </c>
      <c r="B5" s="147"/>
      <c r="C5" s="147"/>
      <c r="D5" s="147"/>
      <c r="E5" s="147"/>
      <c r="F5" s="147"/>
      <c r="G5" s="147"/>
      <c r="H5" s="147"/>
      <c r="I5" s="147"/>
      <c r="J5" s="148"/>
    </row>
    <row r="6" spans="1:10" ht="33" customHeight="1" thickBot="1">
      <c r="A6" s="149" t="s">
        <v>42</v>
      </c>
      <c r="B6" s="150"/>
      <c r="C6" s="19" t="s">
        <v>54</v>
      </c>
      <c r="D6" s="151" t="s">
        <v>55</v>
      </c>
      <c r="E6" s="152"/>
      <c r="F6" s="153"/>
      <c r="G6" s="20" t="s">
        <v>41</v>
      </c>
      <c r="H6" s="21" t="s">
        <v>56</v>
      </c>
      <c r="I6" s="154" t="s">
        <v>50</v>
      </c>
      <c r="J6" s="155"/>
    </row>
    <row r="7" spans="1:10" ht="7.5" customHeight="1" thickBot="1">
      <c r="A7" s="159"/>
      <c r="B7" s="160"/>
      <c r="C7" s="160"/>
      <c r="D7" s="160"/>
      <c r="E7" s="160"/>
      <c r="F7" s="160"/>
      <c r="G7" s="160"/>
      <c r="H7" s="160"/>
      <c r="I7" s="160"/>
      <c r="J7" s="161"/>
    </row>
    <row r="8" spans="1:10" ht="45">
      <c r="A8" s="22" t="s">
        <v>1</v>
      </c>
      <c r="B8" s="23" t="s">
        <v>2</v>
      </c>
      <c r="C8" s="24"/>
      <c r="D8" s="25" t="s">
        <v>3</v>
      </c>
      <c r="E8" s="25" t="s">
        <v>4</v>
      </c>
      <c r="F8" s="25" t="s">
        <v>5</v>
      </c>
      <c r="G8" s="25" t="s">
        <v>6</v>
      </c>
      <c r="H8" s="25" t="s">
        <v>49</v>
      </c>
      <c r="I8" s="25" t="s">
        <v>8</v>
      </c>
      <c r="J8" s="26" t="s">
        <v>9</v>
      </c>
    </row>
    <row r="9" spans="1:10" ht="15.75">
      <c r="A9" s="27" t="s">
        <v>51</v>
      </c>
      <c r="B9" s="27" t="s">
        <v>52</v>
      </c>
      <c r="C9" s="28"/>
      <c r="D9" s="29"/>
      <c r="E9" s="29"/>
      <c r="F9" s="29"/>
      <c r="G9" s="29"/>
      <c r="H9" s="29"/>
      <c r="I9" s="29"/>
      <c r="J9" s="30"/>
    </row>
    <row r="10" spans="1:10" ht="30">
      <c r="A10" s="31" t="s">
        <v>59</v>
      </c>
      <c r="B10" s="32" t="s">
        <v>60</v>
      </c>
      <c r="C10" s="31"/>
      <c r="D10" s="33"/>
      <c r="E10" s="34"/>
      <c r="F10" s="34"/>
      <c r="G10" s="34"/>
      <c r="H10" s="34"/>
      <c r="I10" s="34"/>
      <c r="J10" s="35"/>
    </row>
    <row r="11" spans="1:10" ht="16.5" customHeight="1">
      <c r="A11" s="36" t="s">
        <v>57</v>
      </c>
      <c r="B11" s="37"/>
      <c r="C11" s="36" t="s">
        <v>58</v>
      </c>
      <c r="D11" s="38" t="s">
        <v>0</v>
      </c>
      <c r="E11" s="39">
        <v>8.65</v>
      </c>
      <c r="F11" s="39">
        <v>18.98</v>
      </c>
      <c r="G11" s="39">
        <v>27.63</v>
      </c>
      <c r="H11" s="40">
        <f>G11*1.2293</f>
        <v>33.965558999999999</v>
      </c>
      <c r="I11" s="41">
        <v>40</v>
      </c>
      <c r="J11" s="42">
        <f>H11*I11</f>
        <v>1358.6223599999998</v>
      </c>
    </row>
    <row r="12" spans="1:10" ht="16.5" customHeight="1">
      <c r="A12" s="31" t="s">
        <v>61</v>
      </c>
      <c r="B12" s="32" t="s">
        <v>62</v>
      </c>
      <c r="C12" s="31"/>
      <c r="D12" s="43"/>
      <c r="E12" s="44"/>
      <c r="F12" s="44"/>
      <c r="G12" s="44"/>
      <c r="H12" s="34"/>
      <c r="I12" s="34"/>
      <c r="J12" s="35"/>
    </row>
    <row r="13" spans="1:10" ht="39.75" customHeight="1">
      <c r="A13" s="36" t="s">
        <v>63</v>
      </c>
      <c r="B13" s="37"/>
      <c r="C13" s="36" t="s">
        <v>64</v>
      </c>
      <c r="D13" s="38" t="s">
        <v>0</v>
      </c>
      <c r="E13" s="39">
        <v>2.15</v>
      </c>
      <c r="F13" s="39">
        <v>0.11</v>
      </c>
      <c r="G13" s="39">
        <v>2.2599999999999998</v>
      </c>
      <c r="H13" s="40">
        <f>G13*1.2293</f>
        <v>2.7782179999999999</v>
      </c>
      <c r="I13" s="41">
        <f>(22*6)+150</f>
        <v>282</v>
      </c>
      <c r="J13" s="42">
        <f>H13*I13</f>
        <v>783.45747599999993</v>
      </c>
    </row>
    <row r="14" spans="1:10" ht="15.75">
      <c r="A14" s="132"/>
      <c r="B14" s="133"/>
      <c r="C14" s="133"/>
      <c r="D14" s="133"/>
      <c r="E14" s="133"/>
      <c r="F14" s="133"/>
      <c r="G14" s="133"/>
      <c r="H14" s="45"/>
      <c r="I14" s="46" t="s">
        <v>30</v>
      </c>
      <c r="J14" s="47">
        <f>SUM(J11:J13)</f>
        <v>2142.0798359999999</v>
      </c>
    </row>
    <row r="15" spans="1:10">
      <c r="A15" s="48" t="s">
        <v>65</v>
      </c>
      <c r="B15" s="48" t="s">
        <v>66</v>
      </c>
      <c r="C15" s="49"/>
      <c r="D15" s="50"/>
      <c r="E15" s="51"/>
      <c r="F15" s="51"/>
      <c r="G15" s="51"/>
      <c r="H15" s="51"/>
      <c r="I15" s="51"/>
      <c r="J15" s="51"/>
    </row>
    <row r="16" spans="1:10" ht="15.75">
      <c r="A16" s="52" t="s">
        <v>67</v>
      </c>
      <c r="B16" s="52" t="s">
        <v>68</v>
      </c>
      <c r="C16" s="53"/>
      <c r="D16" s="54"/>
      <c r="E16" s="55"/>
      <c r="F16" s="55"/>
      <c r="G16" s="55"/>
      <c r="H16" s="34"/>
      <c r="I16" s="34"/>
      <c r="J16" s="34"/>
    </row>
    <row r="17" spans="1:10" ht="15.75">
      <c r="A17" s="36" t="s">
        <v>69</v>
      </c>
      <c r="B17" s="37"/>
      <c r="C17" s="36" t="s">
        <v>70</v>
      </c>
      <c r="D17" s="38" t="s">
        <v>0</v>
      </c>
      <c r="E17" s="39">
        <v>20.96</v>
      </c>
      <c r="F17" s="39"/>
      <c r="G17" s="39">
        <f>E17</f>
        <v>20.96</v>
      </c>
      <c r="H17" s="40">
        <f>G17*1.2293</f>
        <v>25.766128000000002</v>
      </c>
      <c r="I17" s="56">
        <f>(60*0.3*2)/3</f>
        <v>12</v>
      </c>
      <c r="J17" s="42">
        <f>H17*I17</f>
        <v>309.19353599999999</v>
      </c>
    </row>
    <row r="18" spans="1:10" ht="15.75">
      <c r="A18" s="36" t="s">
        <v>69</v>
      </c>
      <c r="B18" s="37"/>
      <c r="C18" s="36" t="s">
        <v>70</v>
      </c>
      <c r="D18" s="38" t="s">
        <v>0</v>
      </c>
      <c r="E18" s="39"/>
      <c r="F18" s="39">
        <v>38.9</v>
      </c>
      <c r="G18" s="39">
        <f>F18</f>
        <v>38.9</v>
      </c>
      <c r="H18" s="40">
        <f>G18*1.2293</f>
        <v>47.819769999999998</v>
      </c>
      <c r="I18" s="56">
        <f>(60*0.3*2)</f>
        <v>36</v>
      </c>
      <c r="J18" s="42">
        <f>H18*I18</f>
        <v>1721.51172</v>
      </c>
    </row>
    <row r="19" spans="1:10" ht="15.75">
      <c r="A19" s="36" t="s">
        <v>83</v>
      </c>
      <c r="B19" s="37"/>
      <c r="C19" s="36" t="s">
        <v>84</v>
      </c>
      <c r="D19" s="38" t="s">
        <v>0</v>
      </c>
      <c r="E19" s="39">
        <v>83.93</v>
      </c>
      <c r="F19" s="39"/>
      <c r="G19" s="39">
        <f>E19</f>
        <v>83.93</v>
      </c>
      <c r="H19" s="40">
        <f>G19*1.2293</f>
        <v>103.17514900000002</v>
      </c>
      <c r="I19" s="56">
        <f>((60*0.3*2)+(18*0.25*3*2))/3</f>
        <v>21</v>
      </c>
      <c r="J19" s="42">
        <f>H19*I19</f>
        <v>2166.6781290000004</v>
      </c>
    </row>
    <row r="20" spans="1:10" ht="15.75">
      <c r="A20" s="36" t="s">
        <v>83</v>
      </c>
      <c r="B20" s="37"/>
      <c r="C20" s="36" t="s">
        <v>84</v>
      </c>
      <c r="D20" s="38" t="s">
        <v>0</v>
      </c>
      <c r="E20" s="39"/>
      <c r="F20" s="39">
        <v>44.89</v>
      </c>
      <c r="G20" s="39">
        <f>F20</f>
        <v>44.89</v>
      </c>
      <c r="H20" s="40">
        <f>G20*1.2293</f>
        <v>55.183277000000004</v>
      </c>
      <c r="I20" s="56">
        <f>((60*0.3*2)+(18*0.25*3*2))</f>
        <v>63</v>
      </c>
      <c r="J20" s="42">
        <f>H20*I20</f>
        <v>3476.5464510000002</v>
      </c>
    </row>
    <row r="21" spans="1:10" ht="30">
      <c r="A21" s="36" t="s">
        <v>85</v>
      </c>
      <c r="B21" s="37"/>
      <c r="C21" s="36" t="s">
        <v>86</v>
      </c>
      <c r="D21" s="38" t="s">
        <v>0</v>
      </c>
      <c r="E21" s="39">
        <v>0</v>
      </c>
      <c r="F21" s="39">
        <v>5.48</v>
      </c>
      <c r="G21" s="39">
        <v>5.48</v>
      </c>
      <c r="H21" s="40">
        <f>G21*1.2293</f>
        <v>6.7365640000000004</v>
      </c>
      <c r="I21" s="56">
        <f>(I18-I17)+(I20-I19)</f>
        <v>66</v>
      </c>
      <c r="J21" s="42">
        <f>H21*I21</f>
        <v>444.613224</v>
      </c>
    </row>
    <row r="22" spans="1:10" ht="15.75">
      <c r="A22" s="57"/>
      <c r="B22" s="57"/>
      <c r="C22" s="58"/>
      <c r="D22" s="57"/>
      <c r="E22" s="40"/>
      <c r="F22" s="40"/>
      <c r="G22" s="40"/>
      <c r="H22" s="40"/>
      <c r="I22" s="46" t="s">
        <v>30</v>
      </c>
      <c r="J22" s="59">
        <f>SUM(J17:J21)</f>
        <v>8118.54306</v>
      </c>
    </row>
    <row r="23" spans="1:10">
      <c r="A23" s="48" t="s">
        <v>71</v>
      </c>
      <c r="B23" s="48" t="s">
        <v>72</v>
      </c>
      <c r="C23" s="49"/>
      <c r="D23" s="50"/>
      <c r="E23" s="51"/>
      <c r="F23" s="51"/>
      <c r="G23" s="51"/>
      <c r="H23" s="51"/>
      <c r="I23" s="51"/>
      <c r="J23" s="51"/>
    </row>
    <row r="24" spans="1:10" ht="15.75">
      <c r="A24" s="52" t="s">
        <v>73</v>
      </c>
      <c r="B24" s="52" t="s">
        <v>74</v>
      </c>
      <c r="C24" s="53"/>
      <c r="D24" s="54"/>
      <c r="E24" s="55"/>
      <c r="F24" s="55"/>
      <c r="G24" s="55"/>
      <c r="H24" s="34"/>
      <c r="I24" s="34"/>
      <c r="J24" s="34"/>
    </row>
    <row r="25" spans="1:10" ht="15.75">
      <c r="A25" s="36" t="s">
        <v>75</v>
      </c>
      <c r="B25" s="37"/>
      <c r="C25" s="36" t="s">
        <v>76</v>
      </c>
      <c r="D25" s="38" t="s">
        <v>48</v>
      </c>
      <c r="E25" s="39">
        <v>5.33</v>
      </c>
      <c r="F25" s="39">
        <v>1.73</v>
      </c>
      <c r="G25" s="39">
        <v>7.06</v>
      </c>
      <c r="H25" s="40">
        <f>G25*1.2293</f>
        <v>8.678858</v>
      </c>
      <c r="I25" s="60">
        <f>((18*4*5)+(80*2*6))*(7.4/12)</f>
        <v>814</v>
      </c>
      <c r="J25" s="40">
        <f>H25*I25</f>
        <v>7064.5904119999996</v>
      </c>
    </row>
    <row r="26" spans="1:10" ht="30">
      <c r="A26" s="31" t="s">
        <v>113</v>
      </c>
      <c r="B26" s="32" t="s">
        <v>114</v>
      </c>
      <c r="C26" s="31"/>
      <c r="D26" s="43"/>
      <c r="E26" s="44"/>
      <c r="F26" s="44"/>
      <c r="G26" s="44"/>
      <c r="H26" s="44"/>
      <c r="I26" s="44"/>
      <c r="J26" s="44"/>
    </row>
    <row r="27" spans="1:10" ht="15.75">
      <c r="A27" s="36" t="s">
        <v>47</v>
      </c>
      <c r="B27" s="37"/>
      <c r="C27" s="36" t="s">
        <v>115</v>
      </c>
      <c r="D27" s="38" t="s">
        <v>48</v>
      </c>
      <c r="E27" s="39">
        <v>6.28</v>
      </c>
      <c r="F27" s="39">
        <v>0.87</v>
      </c>
      <c r="G27" s="39">
        <v>7.15</v>
      </c>
      <c r="H27" s="40">
        <f>G27*1.2293</f>
        <v>8.7894950000000005</v>
      </c>
      <c r="I27" s="60">
        <v>100.5</v>
      </c>
      <c r="J27" s="40">
        <f>H27*I27</f>
        <v>883.34424750000005</v>
      </c>
    </row>
    <row r="28" spans="1:10" ht="15.75">
      <c r="A28" s="61"/>
      <c r="B28" s="61"/>
      <c r="C28" s="62"/>
      <c r="D28" s="61"/>
      <c r="E28" s="63"/>
      <c r="F28" s="63"/>
      <c r="G28" s="63"/>
      <c r="H28" s="63"/>
      <c r="I28" s="46" t="s">
        <v>30</v>
      </c>
      <c r="J28" s="59">
        <f>SUM(J25:J27)</f>
        <v>7947.9346594999997</v>
      </c>
    </row>
    <row r="29" spans="1:10">
      <c r="A29" s="48" t="s">
        <v>77</v>
      </c>
      <c r="B29" s="48" t="s">
        <v>78</v>
      </c>
      <c r="C29" s="49"/>
      <c r="D29" s="50"/>
      <c r="E29" s="51"/>
      <c r="F29" s="51"/>
      <c r="G29" s="51"/>
      <c r="H29" s="51"/>
      <c r="I29" s="51"/>
      <c r="J29" s="51"/>
    </row>
    <row r="30" spans="1:10">
      <c r="A30" s="52" t="s">
        <v>79</v>
      </c>
      <c r="B30" s="52" t="s">
        <v>80</v>
      </c>
      <c r="C30" s="53"/>
      <c r="D30" s="54"/>
      <c r="E30" s="55"/>
      <c r="F30" s="55"/>
      <c r="G30" s="55"/>
      <c r="H30" s="55"/>
      <c r="I30" s="55"/>
      <c r="J30" s="55"/>
    </row>
    <row r="31" spans="1:10" ht="30">
      <c r="A31" s="36" t="s">
        <v>81</v>
      </c>
      <c r="B31" s="37"/>
      <c r="C31" s="36" t="s">
        <v>82</v>
      </c>
      <c r="D31" s="38" t="s">
        <v>10</v>
      </c>
      <c r="E31" s="39">
        <v>17.84</v>
      </c>
      <c r="F31" s="39">
        <v>33.74</v>
      </c>
      <c r="G31" s="39">
        <v>51.58</v>
      </c>
      <c r="H31" s="40">
        <f>G31*1.2293</f>
        <v>63.407294</v>
      </c>
      <c r="I31" s="40">
        <f>18*5</f>
        <v>90</v>
      </c>
      <c r="J31" s="40">
        <f>H31*I31</f>
        <v>5706.6564600000002</v>
      </c>
    </row>
    <row r="32" spans="1:10" ht="15.75">
      <c r="A32" s="64"/>
      <c r="B32" s="45"/>
      <c r="C32" s="45"/>
      <c r="D32" s="45"/>
      <c r="E32" s="45"/>
      <c r="F32" s="45"/>
      <c r="G32" s="45"/>
      <c r="H32" s="45"/>
      <c r="I32" s="46" t="s">
        <v>30</v>
      </c>
      <c r="J32" s="47">
        <f>SUM(J31)</f>
        <v>5706.6564600000002</v>
      </c>
    </row>
    <row r="33" spans="1:10">
      <c r="A33" s="48" t="s">
        <v>87</v>
      </c>
      <c r="B33" s="48" t="s">
        <v>88</v>
      </c>
      <c r="C33" s="49"/>
      <c r="D33" s="50"/>
      <c r="E33" s="51"/>
      <c r="F33" s="51"/>
      <c r="G33" s="51"/>
      <c r="H33" s="51"/>
      <c r="I33" s="51"/>
      <c r="J33" s="51"/>
    </row>
    <row r="34" spans="1:10" ht="15.75">
      <c r="A34" s="52" t="s">
        <v>89</v>
      </c>
      <c r="B34" s="52" t="s">
        <v>90</v>
      </c>
      <c r="C34" s="53"/>
      <c r="D34" s="54"/>
      <c r="E34" s="55"/>
      <c r="F34" s="55"/>
      <c r="G34" s="55"/>
      <c r="H34" s="34"/>
      <c r="I34" s="34"/>
      <c r="J34" s="35"/>
    </row>
    <row r="35" spans="1:10" ht="15.75">
      <c r="A35" s="36" t="s">
        <v>97</v>
      </c>
      <c r="B35" s="37"/>
      <c r="C35" s="36" t="s">
        <v>98</v>
      </c>
      <c r="D35" s="38" t="s">
        <v>11</v>
      </c>
      <c r="E35" s="39">
        <v>268.64</v>
      </c>
      <c r="F35" s="39">
        <v>0</v>
      </c>
      <c r="G35" s="39">
        <v>268.64</v>
      </c>
      <c r="H35" s="40">
        <f t="shared" ref="H35" si="0">G35*1.2293</f>
        <v>330.23915199999999</v>
      </c>
      <c r="I35" s="65">
        <f>(92.78*0.1)+(150*0.06)</f>
        <v>18.277999999999999</v>
      </c>
      <c r="J35" s="42">
        <f t="shared" ref="J35" si="1">H35*I35</f>
        <v>6036.1112202559998</v>
      </c>
    </row>
    <row r="36" spans="1:10" ht="17.25" customHeight="1">
      <c r="A36" s="36" t="s">
        <v>43</v>
      </c>
      <c r="B36" s="37"/>
      <c r="C36" s="36" t="s">
        <v>44</v>
      </c>
      <c r="D36" s="38" t="s">
        <v>11</v>
      </c>
      <c r="E36" s="39">
        <v>290.36</v>
      </c>
      <c r="F36" s="39">
        <v>0</v>
      </c>
      <c r="G36" s="39">
        <v>290.36</v>
      </c>
      <c r="H36" s="40">
        <f t="shared" ref="H36:H40" si="2">G36*1.2293</f>
        <v>356.93954800000006</v>
      </c>
      <c r="I36" s="65">
        <f>((3.1415*0.25*0.25/4)*18*5)+(160*0.3*0.15)+(100.5*0.055)</f>
        <v>17.145234375000001</v>
      </c>
      <c r="J36" s="42">
        <f t="shared" ref="J36:J40" si="3">H36*I36</f>
        <v>6119.8122081665642</v>
      </c>
    </row>
    <row r="37" spans="1:10" ht="17.25" customHeight="1">
      <c r="A37" s="31" t="s">
        <v>91</v>
      </c>
      <c r="B37" s="32" t="s">
        <v>92</v>
      </c>
      <c r="C37" s="31"/>
      <c r="D37" s="43"/>
      <c r="E37" s="44"/>
      <c r="F37" s="44"/>
      <c r="G37" s="44"/>
      <c r="H37" s="44"/>
      <c r="I37" s="44"/>
      <c r="J37" s="44"/>
    </row>
    <row r="38" spans="1:10" ht="27" customHeight="1">
      <c r="A38" s="36" t="s">
        <v>45</v>
      </c>
      <c r="B38" s="37"/>
      <c r="C38" s="36" t="s">
        <v>46</v>
      </c>
      <c r="D38" s="38" t="s">
        <v>11</v>
      </c>
      <c r="E38" s="39">
        <v>0</v>
      </c>
      <c r="F38" s="39">
        <v>56.92</v>
      </c>
      <c r="G38" s="39">
        <v>56.92</v>
      </c>
      <c r="H38" s="40">
        <f t="shared" si="2"/>
        <v>69.971755999999999</v>
      </c>
      <c r="I38" s="65">
        <f>I35</f>
        <v>18.277999999999999</v>
      </c>
      <c r="J38" s="42">
        <f t="shared" si="3"/>
        <v>1278.9437561679999</v>
      </c>
    </row>
    <row r="39" spans="1:10" ht="28.5" customHeight="1">
      <c r="A39" s="36" t="s">
        <v>93</v>
      </c>
      <c r="B39" s="37"/>
      <c r="C39" s="36" t="s">
        <v>94</v>
      </c>
      <c r="D39" s="38" t="s">
        <v>11</v>
      </c>
      <c r="E39" s="39">
        <v>0</v>
      </c>
      <c r="F39" s="39">
        <v>113.84</v>
      </c>
      <c r="G39" s="39">
        <v>113.84</v>
      </c>
      <c r="H39" s="40">
        <f t="shared" si="2"/>
        <v>139.943512</v>
      </c>
      <c r="I39" s="65">
        <f>((3.1415*0.25*0.25/4)*18*5)</f>
        <v>4.4177343750000002</v>
      </c>
      <c r="J39" s="42">
        <f t="shared" si="3"/>
        <v>618.23326352062497</v>
      </c>
    </row>
    <row r="40" spans="1:10" ht="30.75" customHeight="1">
      <c r="A40" s="36" t="s">
        <v>95</v>
      </c>
      <c r="B40" s="37"/>
      <c r="C40" s="36" t="s">
        <v>96</v>
      </c>
      <c r="D40" s="38" t="s">
        <v>11</v>
      </c>
      <c r="E40" s="39">
        <v>0</v>
      </c>
      <c r="F40" s="39">
        <v>78.64</v>
      </c>
      <c r="G40" s="39">
        <v>78.64</v>
      </c>
      <c r="H40" s="40">
        <f t="shared" si="2"/>
        <v>96.672152000000011</v>
      </c>
      <c r="I40" s="65">
        <f>(160*0.3*0.15)</f>
        <v>7.1999999999999993</v>
      </c>
      <c r="J40" s="42">
        <f t="shared" si="3"/>
        <v>696.03949439999997</v>
      </c>
    </row>
    <row r="41" spans="1:10" ht="30.75" customHeight="1">
      <c r="A41" s="36" t="s">
        <v>99</v>
      </c>
      <c r="B41" s="37"/>
      <c r="C41" s="36" t="s">
        <v>100</v>
      </c>
      <c r="D41" s="38" t="s">
        <v>11</v>
      </c>
      <c r="E41" s="39">
        <v>32.24</v>
      </c>
      <c r="F41" s="39">
        <v>86.84</v>
      </c>
      <c r="G41" s="39">
        <v>119.08</v>
      </c>
      <c r="H41" s="40">
        <f t="shared" ref="H41" si="4">G41*1.2293</f>
        <v>146.38504399999999</v>
      </c>
      <c r="I41" s="65">
        <f>100.5*0.055</f>
        <v>5.5274999999999999</v>
      </c>
      <c r="J41" s="42">
        <f t="shared" ref="J41" si="5">H41*I41</f>
        <v>809.14333070999999</v>
      </c>
    </row>
    <row r="42" spans="1:10" ht="28.5" customHeight="1">
      <c r="A42" s="36" t="s">
        <v>530</v>
      </c>
      <c r="B42" s="37"/>
      <c r="C42" s="36" t="s">
        <v>531</v>
      </c>
      <c r="D42" s="38" t="s">
        <v>0</v>
      </c>
      <c r="E42" s="39">
        <v>13.52</v>
      </c>
      <c r="F42" s="39">
        <v>0</v>
      </c>
      <c r="G42" s="39">
        <v>13.52</v>
      </c>
      <c r="H42" s="40">
        <f t="shared" ref="H42" si="6">G42*1.2293</f>
        <v>16.620135999999999</v>
      </c>
      <c r="I42" s="65">
        <v>150</v>
      </c>
      <c r="J42" s="42">
        <f t="shared" ref="J42" si="7">H42*I42</f>
        <v>2493.0203999999999</v>
      </c>
    </row>
    <row r="43" spans="1:10" ht="15.75">
      <c r="A43" s="165"/>
      <c r="B43" s="166"/>
      <c r="C43" s="166"/>
      <c r="D43" s="166"/>
      <c r="E43" s="166"/>
      <c r="F43" s="166"/>
      <c r="G43" s="166"/>
      <c r="H43" s="66"/>
      <c r="I43" s="46" t="s">
        <v>30</v>
      </c>
      <c r="J43" s="47">
        <f>SUM(J35:J42)</f>
        <v>18051.303673221191</v>
      </c>
    </row>
    <row r="44" spans="1:10">
      <c r="A44" s="48" t="s">
        <v>101</v>
      </c>
      <c r="B44" s="48" t="s">
        <v>102</v>
      </c>
      <c r="C44" s="49"/>
      <c r="D44" s="50"/>
      <c r="E44" s="51"/>
      <c r="F44" s="51"/>
      <c r="G44" s="51"/>
      <c r="H44" s="51"/>
      <c r="I44" s="51"/>
      <c r="J44" s="51"/>
    </row>
    <row r="45" spans="1:10" ht="30">
      <c r="A45" s="31" t="s">
        <v>103</v>
      </c>
      <c r="B45" s="32" t="s">
        <v>104</v>
      </c>
      <c r="C45" s="31"/>
      <c r="D45" s="43"/>
      <c r="E45" s="44"/>
      <c r="F45" s="44"/>
      <c r="G45" s="44"/>
      <c r="H45" s="44"/>
      <c r="I45" s="44"/>
      <c r="J45" s="44"/>
    </row>
    <row r="46" spans="1:10" ht="30">
      <c r="A46" s="36" t="s">
        <v>105</v>
      </c>
      <c r="B46" s="37"/>
      <c r="C46" s="36" t="s">
        <v>106</v>
      </c>
      <c r="D46" s="38" t="s">
        <v>11</v>
      </c>
      <c r="E46" s="39">
        <v>0</v>
      </c>
      <c r="F46" s="39">
        <v>54</v>
      </c>
      <c r="G46" s="39">
        <v>54</v>
      </c>
      <c r="H46" s="40">
        <f t="shared" ref="H46" si="8">G46*1.2293</f>
        <v>66.382199999999997</v>
      </c>
      <c r="I46" s="65">
        <f>(3.6*0.15*3)+(4.15*0.15*3)</f>
        <v>3.4875000000000003</v>
      </c>
      <c r="J46" s="42">
        <f t="shared" ref="J46" si="9">H46*I46</f>
        <v>231.50792250000001</v>
      </c>
    </row>
    <row r="47" spans="1:10" ht="15.75">
      <c r="A47" s="66"/>
      <c r="B47" s="66"/>
      <c r="C47" s="66"/>
      <c r="D47" s="66"/>
      <c r="E47" s="66"/>
      <c r="F47" s="66"/>
      <c r="G47" s="66"/>
      <c r="H47" s="66"/>
      <c r="I47" s="46" t="s">
        <v>30</v>
      </c>
      <c r="J47" s="47">
        <f>SUM(J46)</f>
        <v>231.50792250000001</v>
      </c>
    </row>
    <row r="48" spans="1:10">
      <c r="A48" s="48" t="s">
        <v>107</v>
      </c>
      <c r="B48" s="48" t="s">
        <v>108</v>
      </c>
      <c r="C48" s="49"/>
      <c r="D48" s="50"/>
      <c r="E48" s="51"/>
      <c r="F48" s="51"/>
      <c r="G48" s="51"/>
      <c r="H48" s="51"/>
      <c r="I48" s="51"/>
      <c r="J48" s="51"/>
    </row>
    <row r="49" spans="1:10" ht="30">
      <c r="A49" s="31" t="s">
        <v>109</v>
      </c>
      <c r="B49" s="32" t="s">
        <v>110</v>
      </c>
      <c r="C49" s="31"/>
      <c r="D49" s="43"/>
      <c r="E49" s="44"/>
      <c r="F49" s="44"/>
      <c r="G49" s="44"/>
      <c r="H49" s="44"/>
      <c r="I49" s="44"/>
      <c r="J49" s="44"/>
    </row>
    <row r="50" spans="1:10" ht="15.75" customHeight="1">
      <c r="A50" s="36" t="s">
        <v>111</v>
      </c>
      <c r="B50" s="37"/>
      <c r="C50" s="36" t="s">
        <v>112</v>
      </c>
      <c r="D50" s="38" t="s">
        <v>0</v>
      </c>
      <c r="E50" s="39">
        <v>27.53</v>
      </c>
      <c r="F50" s="39">
        <v>23.8</v>
      </c>
      <c r="G50" s="39">
        <v>51.33</v>
      </c>
      <c r="H50" s="40">
        <f t="shared" ref="H50" si="10">G50*1.2293</f>
        <v>63.099969000000002</v>
      </c>
      <c r="I50" s="65">
        <f>(65+8)*3</f>
        <v>219</v>
      </c>
      <c r="J50" s="42">
        <f t="shared" ref="J50" si="11">H50*I50</f>
        <v>13818.893211000001</v>
      </c>
    </row>
    <row r="51" spans="1:10" ht="15.75">
      <c r="A51" s="67"/>
      <c r="B51" s="68"/>
      <c r="C51" s="67"/>
      <c r="D51" s="69"/>
      <c r="E51" s="70"/>
      <c r="F51" s="70"/>
      <c r="G51" s="70"/>
      <c r="H51" s="70"/>
      <c r="I51" s="46" t="s">
        <v>30</v>
      </c>
      <c r="J51" s="47">
        <f>SUM(J50)</f>
        <v>13818.893211000001</v>
      </c>
    </row>
    <row r="52" spans="1:10">
      <c r="A52" s="48" t="s">
        <v>116</v>
      </c>
      <c r="B52" s="48" t="s">
        <v>117</v>
      </c>
      <c r="C52" s="49"/>
      <c r="D52" s="50"/>
      <c r="E52" s="51"/>
      <c r="F52" s="51"/>
      <c r="G52" s="51"/>
      <c r="H52" s="51"/>
      <c r="I52" s="51"/>
      <c r="J52" s="51"/>
    </row>
    <row r="53" spans="1:10">
      <c r="A53" s="52" t="s">
        <v>118</v>
      </c>
      <c r="B53" s="52" t="s">
        <v>119</v>
      </c>
      <c r="C53" s="53"/>
      <c r="D53" s="54"/>
      <c r="E53" s="55"/>
      <c r="F53" s="55"/>
      <c r="G53" s="55"/>
      <c r="H53" s="44"/>
      <c r="I53" s="44"/>
      <c r="J53" s="71"/>
    </row>
    <row r="54" spans="1:10" ht="29.25" customHeight="1">
      <c r="A54" s="36" t="s">
        <v>120</v>
      </c>
      <c r="B54" s="37"/>
      <c r="C54" s="36" t="s">
        <v>121</v>
      </c>
      <c r="D54" s="38" t="s">
        <v>0</v>
      </c>
      <c r="E54" s="39">
        <v>60.43</v>
      </c>
      <c r="F54" s="39">
        <v>21.78</v>
      </c>
      <c r="G54" s="39">
        <v>82.21</v>
      </c>
      <c r="H54" s="40">
        <f t="shared" ref="H54" si="12">G54*1.2293</f>
        <v>101.06075299999999</v>
      </c>
      <c r="I54" s="65">
        <v>100.5</v>
      </c>
      <c r="J54" s="42">
        <f t="shared" ref="J54" si="13">H54*I54</f>
        <v>10156.605676499999</v>
      </c>
    </row>
    <row r="55" spans="1:10" ht="15.75">
      <c r="A55" s="72"/>
      <c r="B55" s="66"/>
      <c r="C55" s="66"/>
      <c r="D55" s="66"/>
      <c r="E55" s="66"/>
      <c r="F55" s="66"/>
      <c r="G55" s="66"/>
      <c r="H55" s="66"/>
      <c r="I55" s="46" t="s">
        <v>30</v>
      </c>
      <c r="J55" s="47">
        <f>SUM(J54)</f>
        <v>10156.605676499999</v>
      </c>
    </row>
    <row r="56" spans="1:10">
      <c r="A56" s="48" t="s">
        <v>122</v>
      </c>
      <c r="B56" s="48" t="s">
        <v>123</v>
      </c>
      <c r="C56" s="49"/>
      <c r="D56" s="50"/>
      <c r="E56" s="51"/>
      <c r="F56" s="51"/>
      <c r="G56" s="51"/>
      <c r="H56" s="51"/>
      <c r="I56" s="51"/>
      <c r="J56" s="51"/>
    </row>
    <row r="57" spans="1:10" ht="30">
      <c r="A57" s="31" t="s">
        <v>124</v>
      </c>
      <c r="B57" s="32" t="s">
        <v>125</v>
      </c>
      <c r="C57" s="31"/>
      <c r="D57" s="43"/>
      <c r="E57" s="44"/>
      <c r="F57" s="44"/>
      <c r="G57" s="44"/>
      <c r="H57" s="44"/>
      <c r="I57" s="44"/>
      <c r="J57" s="44"/>
    </row>
    <row r="58" spans="1:10" ht="30">
      <c r="A58" s="36" t="s">
        <v>547</v>
      </c>
      <c r="B58" s="37"/>
      <c r="C58" s="36" t="s">
        <v>126</v>
      </c>
      <c r="D58" s="38" t="s">
        <v>0</v>
      </c>
      <c r="E58" s="39">
        <v>81</v>
      </c>
      <c r="F58" s="39">
        <v>48.7</v>
      </c>
      <c r="G58" s="39">
        <f>E58+F58</f>
        <v>129.69999999999999</v>
      </c>
      <c r="H58" s="40">
        <f t="shared" ref="H58" si="14">G58*1.2293</f>
        <v>159.44021000000001</v>
      </c>
      <c r="I58" s="73">
        <f>112</f>
        <v>112</v>
      </c>
      <c r="J58" s="42">
        <f t="shared" ref="J58" si="15">H58*I58</f>
        <v>17857.303520000001</v>
      </c>
    </row>
    <row r="59" spans="1:10" ht="15.75">
      <c r="A59" s="72"/>
      <c r="B59" s="66"/>
      <c r="C59" s="66"/>
      <c r="D59" s="66"/>
      <c r="E59" s="66"/>
      <c r="F59" s="66"/>
      <c r="G59" s="66"/>
      <c r="H59" s="66"/>
      <c r="I59" s="46" t="s">
        <v>30</v>
      </c>
      <c r="J59" s="47">
        <f>J58</f>
        <v>17857.303520000001</v>
      </c>
    </row>
    <row r="60" spans="1:10">
      <c r="A60" s="48" t="s">
        <v>127</v>
      </c>
      <c r="B60" s="48" t="s">
        <v>128</v>
      </c>
      <c r="C60" s="49"/>
      <c r="D60" s="50"/>
      <c r="E60" s="51"/>
      <c r="F60" s="51"/>
      <c r="G60" s="51"/>
      <c r="H60" s="51"/>
      <c r="I60" s="51"/>
      <c r="J60" s="51"/>
    </row>
    <row r="61" spans="1:10" ht="30">
      <c r="A61" s="31" t="s">
        <v>129</v>
      </c>
      <c r="B61" s="32" t="s">
        <v>130</v>
      </c>
      <c r="C61" s="31"/>
      <c r="D61" s="43"/>
      <c r="E61" s="44"/>
      <c r="F61" s="44"/>
      <c r="G61" s="44"/>
      <c r="H61" s="44"/>
      <c r="I61" s="44"/>
      <c r="J61" s="44"/>
    </row>
    <row r="62" spans="1:10" ht="28.5" customHeight="1">
      <c r="A62" s="36" t="s">
        <v>131</v>
      </c>
      <c r="B62" s="37"/>
      <c r="C62" s="36" t="s">
        <v>132</v>
      </c>
      <c r="D62" s="38" t="s">
        <v>0</v>
      </c>
      <c r="E62" s="39">
        <v>53.93</v>
      </c>
      <c r="F62" s="39">
        <v>11.97</v>
      </c>
      <c r="G62" s="39">
        <v>65.900000000000006</v>
      </c>
      <c r="H62" s="40">
        <f t="shared" ref="H62" si="16">G62*1.2293</f>
        <v>81.010870000000011</v>
      </c>
      <c r="I62" s="65">
        <f>112</f>
        <v>112</v>
      </c>
      <c r="J62" s="42">
        <f t="shared" ref="J62" si="17">H62*I62</f>
        <v>9073.2174400000004</v>
      </c>
    </row>
    <row r="63" spans="1:10" ht="30">
      <c r="A63" s="31" t="s">
        <v>133</v>
      </c>
      <c r="B63" s="32" t="s">
        <v>134</v>
      </c>
      <c r="C63" s="31"/>
      <c r="D63" s="43"/>
      <c r="E63" s="44"/>
      <c r="F63" s="44"/>
      <c r="G63" s="44"/>
      <c r="H63" s="44"/>
      <c r="I63" s="44"/>
      <c r="J63" s="44"/>
    </row>
    <row r="64" spans="1:10" ht="30">
      <c r="A64" s="36" t="s">
        <v>135</v>
      </c>
      <c r="B64" s="37"/>
      <c r="C64" s="36" t="s">
        <v>136</v>
      </c>
      <c r="D64" s="38" t="s">
        <v>10</v>
      </c>
      <c r="E64" s="39">
        <v>26.45</v>
      </c>
      <c r="F64" s="39">
        <v>36.5</v>
      </c>
      <c r="G64" s="39">
        <v>62.95</v>
      </c>
      <c r="H64" s="40">
        <f t="shared" ref="H64" si="18">G64*1.2293</f>
        <v>77.384435000000011</v>
      </c>
      <c r="I64" s="65">
        <f>36</f>
        <v>36</v>
      </c>
      <c r="J64" s="42">
        <f t="shared" ref="J64" si="19">H64*I64</f>
        <v>2785.8396600000005</v>
      </c>
    </row>
    <row r="65" spans="1:10" ht="15.75">
      <c r="A65" s="74"/>
      <c r="B65" s="37"/>
      <c r="C65" s="36"/>
      <c r="D65" s="38"/>
      <c r="E65" s="39"/>
      <c r="F65" s="39"/>
      <c r="G65" s="39"/>
      <c r="H65" s="40"/>
      <c r="I65" s="46" t="s">
        <v>30</v>
      </c>
      <c r="J65" s="47">
        <f>SUM(J62:J64)</f>
        <v>11859.057100000002</v>
      </c>
    </row>
    <row r="66" spans="1:10">
      <c r="A66" s="48" t="s">
        <v>137</v>
      </c>
      <c r="B66" s="48" t="s">
        <v>138</v>
      </c>
      <c r="C66" s="49"/>
      <c r="D66" s="50"/>
      <c r="E66" s="51"/>
      <c r="F66" s="51"/>
      <c r="G66" s="51"/>
      <c r="H66" s="51"/>
      <c r="I66" s="51"/>
      <c r="J66" s="51"/>
    </row>
    <row r="67" spans="1:10" ht="30">
      <c r="A67" s="31" t="s">
        <v>139</v>
      </c>
      <c r="B67" s="32" t="s">
        <v>140</v>
      </c>
      <c r="C67" s="31"/>
      <c r="D67" s="43"/>
      <c r="E67" s="44"/>
      <c r="F67" s="44"/>
      <c r="G67" s="44"/>
      <c r="H67" s="44"/>
      <c r="I67" s="44"/>
      <c r="J67" s="44"/>
    </row>
    <row r="68" spans="1:10" ht="15.75">
      <c r="A68" s="36" t="s">
        <v>141</v>
      </c>
      <c r="B68" s="37"/>
      <c r="C68" s="36" t="s">
        <v>142</v>
      </c>
      <c r="D68" s="38" t="s">
        <v>0</v>
      </c>
      <c r="E68" s="39">
        <v>0.87</v>
      </c>
      <c r="F68" s="39">
        <v>3.16</v>
      </c>
      <c r="G68" s="39">
        <v>4.03</v>
      </c>
      <c r="H68" s="40">
        <f t="shared" ref="H68:H69" si="20">G68*1.2293</f>
        <v>4.9540790000000001</v>
      </c>
      <c r="I68" s="65">
        <f>(2*I50)+93.63+24</f>
        <v>555.63</v>
      </c>
      <c r="J68" s="42">
        <f t="shared" ref="J68:J69" si="21">H68*I68</f>
        <v>2752.6349147700003</v>
      </c>
    </row>
    <row r="69" spans="1:10" ht="15.75">
      <c r="A69" s="36" t="s">
        <v>143</v>
      </c>
      <c r="B69" s="37"/>
      <c r="C69" s="36" t="s">
        <v>144</v>
      </c>
      <c r="D69" s="38" t="s">
        <v>0</v>
      </c>
      <c r="E69" s="39">
        <v>1.2</v>
      </c>
      <c r="F69" s="39">
        <v>7.48</v>
      </c>
      <c r="G69" s="39">
        <v>8.68</v>
      </c>
      <c r="H69" s="40">
        <f t="shared" si="20"/>
        <v>10.670324000000001</v>
      </c>
      <c r="I69" s="65">
        <f>I68</f>
        <v>555.63</v>
      </c>
      <c r="J69" s="42">
        <f t="shared" si="21"/>
        <v>5928.7521241200002</v>
      </c>
    </row>
    <row r="70" spans="1:10" ht="15.75">
      <c r="A70" s="72"/>
      <c r="B70" s="66"/>
      <c r="C70" s="66"/>
      <c r="D70" s="66"/>
      <c r="E70" s="66"/>
      <c r="F70" s="66"/>
      <c r="G70" s="66"/>
      <c r="H70" s="66"/>
      <c r="I70" s="46" t="s">
        <v>30</v>
      </c>
      <c r="J70" s="47">
        <f>SUM(J67:J69)</f>
        <v>8681.3870388899995</v>
      </c>
    </row>
    <row r="71" spans="1:10">
      <c r="A71" s="48" t="s">
        <v>145</v>
      </c>
      <c r="B71" s="48" t="s">
        <v>146</v>
      </c>
      <c r="C71" s="49"/>
      <c r="D71" s="50"/>
      <c r="E71" s="51"/>
      <c r="F71" s="51"/>
      <c r="G71" s="51"/>
      <c r="H71" s="51"/>
      <c r="I71" s="51"/>
      <c r="J71" s="51"/>
    </row>
    <row r="72" spans="1:10" ht="30">
      <c r="A72" s="31" t="s">
        <v>149</v>
      </c>
      <c r="B72" s="32" t="s">
        <v>150</v>
      </c>
      <c r="C72" s="31"/>
      <c r="D72" s="43"/>
      <c r="E72" s="44"/>
      <c r="F72" s="44"/>
      <c r="G72" s="44"/>
      <c r="H72" s="44"/>
      <c r="I72" s="44"/>
      <c r="J72" s="44"/>
    </row>
    <row r="73" spans="1:10" ht="60">
      <c r="A73" s="36" t="s">
        <v>147</v>
      </c>
      <c r="B73" s="37"/>
      <c r="C73" s="36" t="s">
        <v>148</v>
      </c>
      <c r="D73" s="38" t="s">
        <v>0</v>
      </c>
      <c r="E73" s="39">
        <v>27.04</v>
      </c>
      <c r="F73" s="39">
        <v>10.19</v>
      </c>
      <c r="G73" s="39">
        <v>37.229999999999997</v>
      </c>
      <c r="H73" s="40">
        <f t="shared" ref="H73" si="22">G73*1.2293</f>
        <v>45.766838999999997</v>
      </c>
      <c r="I73" s="65">
        <f>93.63+10.95+10.45+4.5+4.5+(1.8*0.15*2)+15.25+22</f>
        <v>161.82</v>
      </c>
      <c r="J73" s="42">
        <f t="shared" ref="J73" si="23">H73*I73</f>
        <v>7405.989886979999</v>
      </c>
    </row>
    <row r="74" spans="1:10" ht="41.25" customHeight="1">
      <c r="A74" s="36" t="s">
        <v>151</v>
      </c>
      <c r="B74" s="37"/>
      <c r="C74" s="36" t="s">
        <v>152</v>
      </c>
      <c r="D74" s="38" t="s">
        <v>10</v>
      </c>
      <c r="E74" s="39">
        <v>4.5</v>
      </c>
      <c r="F74" s="39">
        <v>0.81</v>
      </c>
      <c r="G74" s="39">
        <v>5.31</v>
      </c>
      <c r="H74" s="40">
        <f t="shared" ref="H74:H76" si="24">G74*1.2293</f>
        <v>6.5275829999999999</v>
      </c>
      <c r="I74" s="65">
        <f>(4*3.5)+(2*2.65)+2+(6*4.8)+(4*3.45)+4.15+(2*(3.8+3.95+2+2+3.7))+11.1+24</f>
        <v>134.04999999999998</v>
      </c>
      <c r="J74" s="42">
        <f t="shared" ref="J74:J76" si="25">H74*I74</f>
        <v>875.02250114999993</v>
      </c>
    </row>
    <row r="75" spans="1:10" ht="30" customHeight="1">
      <c r="A75" s="36" t="s">
        <v>153</v>
      </c>
      <c r="B75" s="37"/>
      <c r="C75" s="36" t="s">
        <v>154</v>
      </c>
      <c r="D75" s="38" t="s">
        <v>0</v>
      </c>
      <c r="E75" s="39">
        <v>1.46</v>
      </c>
      <c r="F75" s="39">
        <v>6.8</v>
      </c>
      <c r="G75" s="39">
        <v>8.26</v>
      </c>
      <c r="H75" s="40">
        <f t="shared" si="24"/>
        <v>10.154018000000001</v>
      </c>
      <c r="I75" s="65">
        <f>I73</f>
        <v>161.82</v>
      </c>
      <c r="J75" s="42">
        <f t="shared" si="25"/>
        <v>1643.1231927599999</v>
      </c>
    </row>
    <row r="76" spans="1:10" ht="45">
      <c r="A76" s="36" t="s">
        <v>155</v>
      </c>
      <c r="B76" s="37"/>
      <c r="C76" s="36" t="s">
        <v>156</v>
      </c>
      <c r="D76" s="38" t="s">
        <v>10</v>
      </c>
      <c r="E76" s="39">
        <v>0.15</v>
      </c>
      <c r="F76" s="39">
        <v>0.76</v>
      </c>
      <c r="G76" s="39">
        <v>0.91</v>
      </c>
      <c r="H76" s="40">
        <f t="shared" si="24"/>
        <v>1.1186630000000002</v>
      </c>
      <c r="I76" s="65">
        <f>I74</f>
        <v>134.04999999999998</v>
      </c>
      <c r="J76" s="42">
        <f t="shared" si="25"/>
        <v>149.95677515</v>
      </c>
    </row>
    <row r="77" spans="1:10" ht="15.75">
      <c r="A77" s="74"/>
      <c r="B77" s="37"/>
      <c r="C77" s="36"/>
      <c r="D77" s="38"/>
      <c r="E77" s="39"/>
      <c r="F77" s="39"/>
      <c r="G77" s="39"/>
      <c r="H77" s="66"/>
      <c r="I77" s="46" t="s">
        <v>30</v>
      </c>
      <c r="J77" s="47">
        <f>SUM(J73:J76)</f>
        <v>10074.092356039999</v>
      </c>
    </row>
    <row r="78" spans="1:10">
      <c r="A78" s="48" t="s">
        <v>157</v>
      </c>
      <c r="B78" s="48" t="s">
        <v>158</v>
      </c>
      <c r="C78" s="49"/>
      <c r="D78" s="50"/>
      <c r="E78" s="51"/>
      <c r="F78" s="51"/>
      <c r="G78" s="51"/>
      <c r="H78" s="51"/>
      <c r="I78" s="51"/>
      <c r="J78" s="51"/>
    </row>
    <row r="79" spans="1:10">
      <c r="A79" s="52" t="s">
        <v>159</v>
      </c>
      <c r="B79" s="52" t="s">
        <v>160</v>
      </c>
      <c r="C79" s="53"/>
      <c r="D79" s="54"/>
      <c r="E79" s="55"/>
      <c r="F79" s="55"/>
      <c r="G79" s="55"/>
      <c r="H79" s="55"/>
      <c r="I79" s="55"/>
      <c r="J79" s="55"/>
    </row>
    <row r="80" spans="1:10" ht="30">
      <c r="A80" s="36" t="s">
        <v>161</v>
      </c>
      <c r="B80" s="37"/>
      <c r="C80" s="36" t="s">
        <v>162</v>
      </c>
      <c r="D80" s="38" t="s">
        <v>10</v>
      </c>
      <c r="E80" s="39">
        <v>94.31</v>
      </c>
      <c r="F80" s="39">
        <v>4.05</v>
      </c>
      <c r="G80" s="39">
        <v>98.36</v>
      </c>
      <c r="H80" s="40">
        <f t="shared" ref="H80" si="26">G80*1.2293</f>
        <v>120.913948</v>
      </c>
      <c r="I80" s="65">
        <f>10*0.8</f>
        <v>8</v>
      </c>
      <c r="J80" s="42">
        <f t="shared" ref="J80" si="27">H80*I80</f>
        <v>967.31158400000004</v>
      </c>
    </row>
    <row r="81" spans="1:10" ht="15.75">
      <c r="A81" s="74"/>
      <c r="B81" s="37"/>
      <c r="C81" s="36"/>
      <c r="D81" s="38"/>
      <c r="E81" s="39"/>
      <c r="F81" s="39"/>
      <c r="G81" s="39"/>
      <c r="H81" s="66"/>
      <c r="I81" s="46" t="s">
        <v>30</v>
      </c>
      <c r="J81" s="47">
        <f>SUM(J78:J80)</f>
        <v>967.31158400000004</v>
      </c>
    </row>
    <row r="82" spans="1:10">
      <c r="A82" s="48" t="s">
        <v>561</v>
      </c>
      <c r="B82" s="48" t="s">
        <v>562</v>
      </c>
      <c r="C82" s="49"/>
      <c r="D82" s="50"/>
      <c r="E82" s="51"/>
      <c r="F82" s="51"/>
      <c r="G82" s="51"/>
      <c r="H82" s="51"/>
      <c r="I82" s="51"/>
      <c r="J82" s="51"/>
    </row>
    <row r="83" spans="1:10">
      <c r="A83" s="31" t="s">
        <v>563</v>
      </c>
      <c r="B83" s="32" t="s">
        <v>564</v>
      </c>
      <c r="C83" s="31"/>
      <c r="D83" s="43"/>
      <c r="E83" s="44"/>
      <c r="F83" s="44"/>
      <c r="G83" s="44"/>
      <c r="H83" s="55"/>
      <c r="I83" s="55"/>
      <c r="J83" s="55"/>
    </row>
    <row r="84" spans="1:10" ht="15.75">
      <c r="A84" s="36" t="s">
        <v>565</v>
      </c>
      <c r="B84" s="37"/>
      <c r="C84" s="36" t="s">
        <v>566</v>
      </c>
      <c r="D84" s="38" t="s">
        <v>0</v>
      </c>
      <c r="E84" s="39">
        <v>50.3</v>
      </c>
      <c r="F84" s="39">
        <v>0</v>
      </c>
      <c r="G84" s="39">
        <v>50.3</v>
      </c>
      <c r="H84" s="40">
        <f t="shared" ref="H84" si="28">G84*1.2293</f>
        <v>61.83379</v>
      </c>
      <c r="I84" s="65">
        <v>15.25</v>
      </c>
      <c r="J84" s="42">
        <f t="shared" ref="J84" si="29">H84*I84</f>
        <v>942.96529750000002</v>
      </c>
    </row>
    <row r="85" spans="1:10" ht="15.75">
      <c r="A85" s="74"/>
      <c r="B85" s="37"/>
      <c r="C85" s="36"/>
      <c r="D85" s="38"/>
      <c r="E85" s="39"/>
      <c r="F85" s="39"/>
      <c r="G85" s="39"/>
      <c r="H85" s="66"/>
      <c r="I85" s="46" t="s">
        <v>30</v>
      </c>
      <c r="J85" s="47">
        <f>SUM(J82:J84)</f>
        <v>942.96529750000002</v>
      </c>
    </row>
    <row r="86" spans="1:10">
      <c r="A86" s="48" t="s">
        <v>163</v>
      </c>
      <c r="B86" s="48" t="s">
        <v>164</v>
      </c>
      <c r="C86" s="49"/>
      <c r="D86" s="50"/>
      <c r="E86" s="51"/>
      <c r="F86" s="51"/>
      <c r="G86" s="51"/>
      <c r="H86" s="51"/>
      <c r="I86" s="51"/>
      <c r="J86" s="51"/>
    </row>
    <row r="87" spans="1:10" ht="30">
      <c r="A87" s="31" t="s">
        <v>165</v>
      </c>
      <c r="B87" s="32" t="s">
        <v>166</v>
      </c>
      <c r="C87" s="31"/>
      <c r="D87" s="43"/>
      <c r="E87" s="44"/>
      <c r="F87" s="44"/>
      <c r="G87" s="44"/>
      <c r="H87" s="44"/>
      <c r="I87" s="44"/>
      <c r="J87" s="44"/>
    </row>
    <row r="88" spans="1:10" ht="15.75">
      <c r="A88" s="36" t="s">
        <v>167</v>
      </c>
      <c r="B88" s="37"/>
      <c r="C88" s="36" t="s">
        <v>168</v>
      </c>
      <c r="D88" s="38" t="s">
        <v>7</v>
      </c>
      <c r="E88" s="39">
        <v>299.31</v>
      </c>
      <c r="F88" s="39">
        <v>83.79</v>
      </c>
      <c r="G88" s="39">
        <v>383.1</v>
      </c>
      <c r="H88" s="40">
        <f t="shared" ref="H88" si="30">G88*1.2293</f>
        <v>470.94483000000002</v>
      </c>
      <c r="I88" s="65">
        <v>9</v>
      </c>
      <c r="J88" s="42">
        <f t="shared" ref="J88" si="31">H88*I88</f>
        <v>4238.5034700000006</v>
      </c>
    </row>
    <row r="89" spans="1:10" ht="15.75">
      <c r="A89" s="72"/>
      <c r="B89" s="66"/>
      <c r="C89" s="66"/>
      <c r="D89" s="66"/>
      <c r="E89" s="66"/>
      <c r="F89" s="66"/>
      <c r="G89" s="66"/>
      <c r="H89" s="66"/>
      <c r="I89" s="46" t="s">
        <v>30</v>
      </c>
      <c r="J89" s="47">
        <f>SUM(J86:J88)</f>
        <v>4238.5034700000006</v>
      </c>
    </row>
    <row r="90" spans="1:10">
      <c r="A90" s="48" t="s">
        <v>169</v>
      </c>
      <c r="B90" s="48" t="s">
        <v>170</v>
      </c>
      <c r="C90" s="49"/>
      <c r="D90" s="50"/>
      <c r="E90" s="51"/>
      <c r="F90" s="51"/>
      <c r="G90" s="51"/>
      <c r="H90" s="51"/>
      <c r="I90" s="51"/>
      <c r="J90" s="51"/>
    </row>
    <row r="91" spans="1:10">
      <c r="A91" s="52" t="s">
        <v>171</v>
      </c>
      <c r="B91" s="52" t="str">
        <f>Orçamento!B313</f>
        <v>SINALIZAÇÃO E COMUNICAÇÃO VISUAL</v>
      </c>
      <c r="C91" s="53"/>
      <c r="D91" s="54"/>
      <c r="E91" s="55"/>
      <c r="F91" s="55"/>
      <c r="G91" s="55"/>
      <c r="H91" s="55"/>
      <c r="I91" s="55"/>
      <c r="J91" s="55"/>
    </row>
    <row r="92" spans="1:10" ht="30">
      <c r="A92" s="36" t="s">
        <v>172</v>
      </c>
      <c r="B92" s="37"/>
      <c r="C92" s="36" t="s">
        <v>567</v>
      </c>
      <c r="D92" s="38" t="s">
        <v>0</v>
      </c>
      <c r="E92" s="39">
        <v>343.45</v>
      </c>
      <c r="F92" s="39">
        <v>19</v>
      </c>
      <c r="G92" s="39">
        <v>362.45</v>
      </c>
      <c r="H92" s="40">
        <f t="shared" ref="H92" si="32">G92*1.2293</f>
        <v>445.55978500000003</v>
      </c>
      <c r="I92" s="65">
        <v>7.4</v>
      </c>
      <c r="J92" s="42">
        <f t="shared" ref="J92" si="33">H92*I92</f>
        <v>3297.1424090000005</v>
      </c>
    </row>
    <row r="93" spans="1:10" ht="30">
      <c r="A93" s="31" t="s">
        <v>173</v>
      </c>
      <c r="B93" s="32" t="s">
        <v>174</v>
      </c>
      <c r="C93" s="31"/>
      <c r="D93" s="43"/>
      <c r="E93" s="44"/>
      <c r="F93" s="44"/>
      <c r="G93" s="44"/>
      <c r="H93" s="44"/>
      <c r="I93" s="44"/>
      <c r="J93" s="44"/>
    </row>
    <row r="94" spans="1:10" ht="30">
      <c r="A94" s="36" t="s">
        <v>175</v>
      </c>
      <c r="B94" s="37"/>
      <c r="C94" s="36" t="s">
        <v>568</v>
      </c>
      <c r="D94" s="38" t="s">
        <v>0</v>
      </c>
      <c r="E94" s="39">
        <v>406.63</v>
      </c>
      <c r="F94" s="39">
        <v>56.92</v>
      </c>
      <c r="G94" s="39">
        <v>463.55</v>
      </c>
      <c r="H94" s="40">
        <f t="shared" ref="H94" si="34">G94*1.2293</f>
        <v>569.84201500000006</v>
      </c>
      <c r="I94" s="65">
        <f>2*2.1</f>
        <v>4.2</v>
      </c>
      <c r="J94" s="42">
        <f t="shared" ref="J94" si="35">H94*I94</f>
        <v>2393.3364630000005</v>
      </c>
    </row>
    <row r="95" spans="1:10" ht="30">
      <c r="A95" s="36" t="s">
        <v>560</v>
      </c>
      <c r="B95" s="37"/>
      <c r="C95" s="36" t="s">
        <v>569</v>
      </c>
      <c r="D95" s="38" t="s">
        <v>0</v>
      </c>
      <c r="E95" s="39">
        <v>274.58</v>
      </c>
      <c r="F95" s="39">
        <v>56.92</v>
      </c>
      <c r="G95" s="39">
        <v>331.5</v>
      </c>
      <c r="H95" s="40">
        <f t="shared" ref="H95" si="36">G95*1.2293</f>
        <v>407.51295000000005</v>
      </c>
      <c r="I95" s="65">
        <v>2.1</v>
      </c>
      <c r="J95" s="42">
        <f t="shared" ref="J95" si="37">H95*I95</f>
        <v>855.77719500000012</v>
      </c>
    </row>
    <row r="96" spans="1:10" ht="15.75">
      <c r="A96" s="74"/>
      <c r="B96" s="37"/>
      <c r="C96" s="36"/>
      <c r="D96" s="38"/>
      <c r="E96" s="39"/>
      <c r="F96" s="39"/>
      <c r="G96" s="39"/>
      <c r="H96" s="40"/>
      <c r="I96" s="46" t="s">
        <v>30</v>
      </c>
      <c r="J96" s="47">
        <f>SUM(J92:J95)</f>
        <v>6546.2560670000021</v>
      </c>
    </row>
    <row r="97" spans="1:10">
      <c r="A97" s="48" t="s">
        <v>176</v>
      </c>
      <c r="B97" s="48" t="s">
        <v>177</v>
      </c>
      <c r="C97" s="49"/>
      <c r="D97" s="50"/>
      <c r="E97" s="51"/>
      <c r="F97" s="51"/>
      <c r="G97" s="51"/>
      <c r="H97" s="51"/>
      <c r="I97" s="51"/>
      <c r="J97" s="51"/>
    </row>
    <row r="98" spans="1:10">
      <c r="A98" s="52" t="s">
        <v>178</v>
      </c>
      <c r="B98" s="52" t="s">
        <v>179</v>
      </c>
      <c r="C98" s="53"/>
      <c r="D98" s="54"/>
      <c r="E98" s="55"/>
      <c r="F98" s="55"/>
      <c r="G98" s="55"/>
      <c r="H98" s="55"/>
      <c r="I98" s="55"/>
      <c r="J98" s="55"/>
    </row>
    <row r="99" spans="1:10" ht="15.75">
      <c r="A99" s="36" t="s">
        <v>180</v>
      </c>
      <c r="B99" s="37"/>
      <c r="C99" s="36" t="s">
        <v>181</v>
      </c>
      <c r="D99" s="38" t="s">
        <v>0</v>
      </c>
      <c r="E99" s="39">
        <v>62.65</v>
      </c>
      <c r="F99" s="39">
        <v>19.68</v>
      </c>
      <c r="G99" s="39">
        <v>82.33</v>
      </c>
      <c r="H99" s="40">
        <f t="shared" ref="H99" si="38">G99*1.2293</f>
        <v>101.208269</v>
      </c>
      <c r="I99" s="65">
        <f>I94+I92</f>
        <v>11.600000000000001</v>
      </c>
      <c r="J99" s="42">
        <f t="shared" ref="J99" si="39">H99*I99</f>
        <v>1174.0159204000001</v>
      </c>
    </row>
    <row r="100" spans="1:10">
      <c r="A100" s="31" t="s">
        <v>182</v>
      </c>
      <c r="B100" s="32" t="s">
        <v>183</v>
      </c>
      <c r="C100" s="31"/>
      <c r="D100" s="43"/>
      <c r="E100" s="44"/>
      <c r="F100" s="44"/>
      <c r="G100" s="44"/>
      <c r="H100" s="44"/>
      <c r="I100" s="44"/>
      <c r="J100" s="44"/>
    </row>
    <row r="101" spans="1:10" ht="15.75">
      <c r="A101" s="36" t="s">
        <v>184</v>
      </c>
      <c r="B101" s="37"/>
      <c r="C101" s="36" t="s">
        <v>185</v>
      </c>
      <c r="D101" s="38" t="s">
        <v>0</v>
      </c>
      <c r="E101" s="39">
        <v>286</v>
      </c>
      <c r="F101" s="39">
        <v>0</v>
      </c>
      <c r="G101" s="39">
        <v>286</v>
      </c>
      <c r="H101" s="40">
        <f t="shared" ref="H101" si="40">G101*1.2293</f>
        <v>351.57980000000003</v>
      </c>
      <c r="I101" s="65">
        <f>2*(0.6*0.4)+2*(0.8*0.6)</f>
        <v>1.44</v>
      </c>
      <c r="J101" s="42">
        <f t="shared" ref="J101" si="41">H101*I101</f>
        <v>506.27491200000003</v>
      </c>
    </row>
    <row r="102" spans="1:10" ht="15.75">
      <c r="A102" s="74"/>
      <c r="B102" s="37"/>
      <c r="C102" s="36"/>
      <c r="D102" s="38"/>
      <c r="E102" s="39"/>
      <c r="F102" s="39"/>
      <c r="G102" s="39"/>
      <c r="H102" s="40"/>
      <c r="I102" s="46" t="s">
        <v>30</v>
      </c>
      <c r="J102" s="47">
        <f>SUM(J99:J101)</f>
        <v>1680.2908324000002</v>
      </c>
    </row>
    <row r="103" spans="1:10">
      <c r="A103" s="48" t="s">
        <v>186</v>
      </c>
      <c r="B103" s="48" t="s">
        <v>187</v>
      </c>
      <c r="C103" s="49"/>
      <c r="D103" s="50"/>
      <c r="E103" s="51"/>
      <c r="F103" s="51"/>
      <c r="G103" s="51"/>
      <c r="H103" s="51"/>
      <c r="I103" s="51"/>
      <c r="J103" s="51"/>
    </row>
    <row r="104" spans="1:10">
      <c r="A104" s="52" t="s">
        <v>188</v>
      </c>
      <c r="B104" s="52" t="s">
        <v>189</v>
      </c>
      <c r="C104" s="53"/>
      <c r="D104" s="54"/>
      <c r="E104" s="55"/>
      <c r="F104" s="55"/>
      <c r="G104" s="55"/>
      <c r="H104" s="55"/>
      <c r="I104" s="55"/>
      <c r="J104" s="55"/>
    </row>
    <row r="105" spans="1:10" ht="29.25" customHeight="1">
      <c r="A105" s="36" t="s">
        <v>190</v>
      </c>
      <c r="B105" s="37"/>
      <c r="C105" s="36" t="s">
        <v>191</v>
      </c>
      <c r="D105" s="38" t="s">
        <v>0</v>
      </c>
      <c r="E105" s="39">
        <v>333.72</v>
      </c>
      <c r="F105" s="39">
        <v>69.099999999999994</v>
      </c>
      <c r="G105" s="39">
        <v>402.82</v>
      </c>
      <c r="H105" s="40">
        <f t="shared" ref="H105" si="42">G105*1.2293</f>
        <v>495.18662599999999</v>
      </c>
      <c r="I105" s="65">
        <f>9*2</f>
        <v>18</v>
      </c>
      <c r="J105" s="42">
        <f t="shared" ref="J105" si="43">H105*I105</f>
        <v>8913.3592680000002</v>
      </c>
    </row>
    <row r="106" spans="1:10" ht="15.75">
      <c r="A106" s="36"/>
      <c r="B106" s="37"/>
      <c r="C106" s="36"/>
      <c r="D106" s="38"/>
      <c r="E106" s="39"/>
      <c r="F106" s="39"/>
      <c r="G106" s="39"/>
      <c r="H106" s="40"/>
      <c r="I106" s="46" t="s">
        <v>30</v>
      </c>
      <c r="J106" s="47">
        <f>SUM(J103:J105)</f>
        <v>8913.3592680000002</v>
      </c>
    </row>
    <row r="107" spans="1:10">
      <c r="A107" s="48" t="s">
        <v>192</v>
      </c>
      <c r="B107" s="48" t="s">
        <v>193</v>
      </c>
      <c r="C107" s="49"/>
      <c r="D107" s="50"/>
      <c r="E107" s="51"/>
      <c r="F107" s="51"/>
      <c r="G107" s="51"/>
      <c r="H107" s="51"/>
      <c r="I107" s="51"/>
      <c r="J107" s="51"/>
    </row>
    <row r="108" spans="1:10">
      <c r="A108" s="52" t="s">
        <v>194</v>
      </c>
      <c r="B108" s="52" t="s">
        <v>195</v>
      </c>
      <c r="C108" s="53"/>
      <c r="D108" s="54"/>
      <c r="E108" s="55"/>
      <c r="F108" s="55"/>
      <c r="G108" s="55"/>
      <c r="H108" s="55"/>
      <c r="I108" s="55"/>
      <c r="J108" s="55"/>
    </row>
    <row r="109" spans="1:10" ht="30">
      <c r="A109" s="36" t="s">
        <v>196</v>
      </c>
      <c r="B109" s="37"/>
      <c r="C109" s="36" t="s">
        <v>197</v>
      </c>
      <c r="D109" s="38" t="s">
        <v>198</v>
      </c>
      <c r="E109" s="39">
        <v>128.12</v>
      </c>
      <c r="F109" s="39">
        <v>44.89</v>
      </c>
      <c r="G109" s="39">
        <v>173.01</v>
      </c>
      <c r="H109" s="40">
        <f t="shared" ref="H109" si="44">G109*1.2293</f>
        <v>212.68119300000001</v>
      </c>
      <c r="I109" s="65">
        <v>6</v>
      </c>
      <c r="J109" s="42">
        <f t="shared" ref="J109" si="45">H109*I109</f>
        <v>1276.087158</v>
      </c>
    </row>
    <row r="110" spans="1:10" ht="15.75">
      <c r="A110" s="72"/>
      <c r="B110" s="66"/>
      <c r="C110" s="66"/>
      <c r="D110" s="66"/>
      <c r="E110" s="66"/>
      <c r="F110" s="66"/>
      <c r="G110" s="66"/>
      <c r="H110" s="40"/>
      <c r="I110" s="46" t="s">
        <v>30</v>
      </c>
      <c r="J110" s="47">
        <f>SUM(J107:J109)</f>
        <v>1276.087158</v>
      </c>
    </row>
    <row r="111" spans="1:10">
      <c r="A111" s="48" t="s">
        <v>199</v>
      </c>
      <c r="B111" s="48" t="s">
        <v>200</v>
      </c>
      <c r="C111" s="49"/>
      <c r="D111" s="50"/>
      <c r="E111" s="51"/>
      <c r="F111" s="51"/>
      <c r="G111" s="51"/>
      <c r="H111" s="51"/>
      <c r="I111" s="51"/>
      <c r="J111" s="51"/>
    </row>
    <row r="112" spans="1:10">
      <c r="A112" s="52" t="s">
        <v>201</v>
      </c>
      <c r="B112" s="52" t="s">
        <v>202</v>
      </c>
      <c r="C112" s="53"/>
      <c r="D112" s="54"/>
      <c r="E112" s="55"/>
      <c r="F112" s="55"/>
      <c r="G112" s="55"/>
      <c r="H112" s="55"/>
      <c r="I112" s="55"/>
      <c r="J112" s="55"/>
    </row>
    <row r="113" spans="1:10" ht="27.75" customHeight="1">
      <c r="A113" s="36" t="s">
        <v>203</v>
      </c>
      <c r="B113" s="37"/>
      <c r="C113" s="36" t="s">
        <v>204</v>
      </c>
      <c r="D113" s="38" t="s">
        <v>7</v>
      </c>
      <c r="E113" s="39">
        <v>86.62</v>
      </c>
      <c r="F113" s="39">
        <v>8.98</v>
      </c>
      <c r="G113" s="39">
        <v>95.6</v>
      </c>
      <c r="H113" s="40">
        <f t="shared" ref="H113" si="46">G113*1.2293</f>
        <v>117.52108</v>
      </c>
      <c r="I113" s="65">
        <v>6</v>
      </c>
      <c r="J113" s="42">
        <f t="shared" ref="J113" si="47">H113*I113</f>
        <v>705.12648000000002</v>
      </c>
    </row>
    <row r="114" spans="1:10" ht="30">
      <c r="A114" s="31" t="s">
        <v>207</v>
      </c>
      <c r="B114" s="32" t="s">
        <v>208</v>
      </c>
      <c r="C114" s="31"/>
      <c r="D114" s="43"/>
      <c r="E114" s="44"/>
      <c r="F114" s="44"/>
      <c r="G114" s="44"/>
      <c r="H114" s="44"/>
      <c r="I114" s="44"/>
      <c r="J114" s="44"/>
    </row>
    <row r="115" spans="1:10" ht="30">
      <c r="A115" s="36" t="s">
        <v>205</v>
      </c>
      <c r="B115" s="37"/>
      <c r="C115" s="36" t="s">
        <v>206</v>
      </c>
      <c r="D115" s="38" t="s">
        <v>7</v>
      </c>
      <c r="E115" s="39">
        <v>22.79</v>
      </c>
      <c r="F115" s="39">
        <v>2.7</v>
      </c>
      <c r="G115" s="39">
        <v>25.49</v>
      </c>
      <c r="H115" s="40">
        <f t="shared" ref="H115" si="48">G115*1.2293</f>
        <v>31.334857</v>
      </c>
      <c r="I115" s="65">
        <v>2</v>
      </c>
      <c r="J115" s="42">
        <f t="shared" ref="J115" si="49">H115*I115</f>
        <v>62.669713999999999</v>
      </c>
    </row>
    <row r="116" spans="1:10" ht="30">
      <c r="A116" s="31" t="s">
        <v>209</v>
      </c>
      <c r="B116" s="32" t="s">
        <v>210</v>
      </c>
      <c r="C116" s="31"/>
      <c r="D116" s="43"/>
      <c r="E116" s="44"/>
      <c r="F116" s="44"/>
      <c r="G116" s="44"/>
      <c r="H116" s="44"/>
      <c r="I116" s="44"/>
      <c r="J116" s="44"/>
    </row>
    <row r="117" spans="1:10" ht="30">
      <c r="A117" s="36" t="s">
        <v>211</v>
      </c>
      <c r="B117" s="37"/>
      <c r="C117" s="36" t="s">
        <v>214</v>
      </c>
      <c r="D117" s="38" t="s">
        <v>7</v>
      </c>
      <c r="E117" s="39">
        <f>1672.8/2</f>
        <v>836.4</v>
      </c>
      <c r="F117" s="39">
        <v>243.37</v>
      </c>
      <c r="G117" s="39">
        <f>E117+F117</f>
        <v>1079.77</v>
      </c>
      <c r="H117" s="40">
        <f t="shared" ref="H117:H118" si="50">G117*1.2293</f>
        <v>1327.361261</v>
      </c>
      <c r="I117" s="65">
        <v>2</v>
      </c>
      <c r="J117" s="42">
        <f t="shared" ref="J117:J118" si="51">H117*I117</f>
        <v>2654.722522</v>
      </c>
    </row>
    <row r="118" spans="1:10" ht="30">
      <c r="A118" s="36" t="s">
        <v>212</v>
      </c>
      <c r="B118" s="37"/>
      <c r="C118" s="36" t="s">
        <v>213</v>
      </c>
      <c r="D118" s="38" t="s">
        <v>7</v>
      </c>
      <c r="E118" s="39">
        <v>544.67999999999995</v>
      </c>
      <c r="F118" s="39">
        <v>39.93</v>
      </c>
      <c r="G118" s="39">
        <v>584.61</v>
      </c>
      <c r="H118" s="40">
        <f t="shared" si="50"/>
        <v>718.6610730000001</v>
      </c>
      <c r="I118" s="65">
        <v>2</v>
      </c>
      <c r="J118" s="42">
        <f t="shared" si="51"/>
        <v>1437.3221460000002</v>
      </c>
    </row>
    <row r="119" spans="1:10" ht="15.75">
      <c r="A119" s="75" t="s">
        <v>215</v>
      </c>
      <c r="B119" s="76" t="s">
        <v>216</v>
      </c>
      <c r="C119" s="77"/>
      <c r="D119" s="78"/>
      <c r="E119" s="79"/>
      <c r="F119" s="79"/>
      <c r="G119" s="80"/>
      <c r="H119" s="80"/>
      <c r="I119" s="80"/>
      <c r="J119" s="80"/>
    </row>
    <row r="120" spans="1:10" ht="30">
      <c r="A120" s="81" t="s">
        <v>218</v>
      </c>
      <c r="B120" s="82"/>
      <c r="C120" s="81" t="s">
        <v>217</v>
      </c>
      <c r="D120" s="81" t="s">
        <v>7</v>
      </c>
      <c r="E120" s="83">
        <v>652.66</v>
      </c>
      <c r="F120" s="84">
        <v>67.47</v>
      </c>
      <c r="G120" s="84">
        <v>720.13</v>
      </c>
      <c r="H120" s="40">
        <f t="shared" ref="H120" si="52">G120*1.2293</f>
        <v>885.255809</v>
      </c>
      <c r="I120" s="65">
        <v>1</v>
      </c>
      <c r="J120" s="42">
        <f t="shared" ref="J120" si="53">H120*I120</f>
        <v>885.255809</v>
      </c>
    </row>
    <row r="121" spans="1:10" ht="15.75">
      <c r="A121" s="72"/>
      <c r="B121" s="66"/>
      <c r="C121" s="66"/>
      <c r="D121" s="66"/>
      <c r="E121" s="66"/>
      <c r="F121" s="66"/>
      <c r="G121" s="66"/>
      <c r="H121" s="40"/>
      <c r="I121" s="46" t="s">
        <v>30</v>
      </c>
      <c r="J121" s="47">
        <f>SUM(J113:J120)</f>
        <v>5745.0966710000002</v>
      </c>
    </row>
    <row r="122" spans="1:10">
      <c r="A122" s="48" t="s">
        <v>219</v>
      </c>
      <c r="B122" s="48" t="s">
        <v>220</v>
      </c>
      <c r="C122" s="49"/>
      <c r="D122" s="50"/>
      <c r="E122" s="51"/>
      <c r="F122" s="51"/>
      <c r="G122" s="51"/>
      <c r="H122" s="51"/>
      <c r="I122" s="51"/>
      <c r="J122" s="51"/>
    </row>
    <row r="123" spans="1:10" ht="30">
      <c r="A123" s="31" t="s">
        <v>221</v>
      </c>
      <c r="B123" s="32" t="s">
        <v>222</v>
      </c>
      <c r="C123" s="31"/>
      <c r="D123" s="43"/>
      <c r="E123" s="44"/>
      <c r="F123" s="44"/>
      <c r="G123" s="44"/>
      <c r="H123" s="44"/>
      <c r="I123" s="44"/>
      <c r="J123" s="44"/>
    </row>
    <row r="124" spans="1:10" ht="30">
      <c r="A124" s="36" t="s">
        <v>223</v>
      </c>
      <c r="B124" s="37"/>
      <c r="C124" s="36" t="s">
        <v>224</v>
      </c>
      <c r="D124" s="38" t="s">
        <v>0</v>
      </c>
      <c r="E124" s="39">
        <v>6.13</v>
      </c>
      <c r="F124" s="39">
        <v>5.4</v>
      </c>
      <c r="G124" s="39">
        <v>11.53</v>
      </c>
      <c r="H124" s="40">
        <f t="shared" ref="H124" si="54">G124*1.2293</f>
        <v>14.173829</v>
      </c>
      <c r="I124" s="65">
        <f>36+(22*1.5)</f>
        <v>69</v>
      </c>
      <c r="J124" s="42">
        <f t="shared" ref="J124" si="55">H124*I124</f>
        <v>977.99420099999998</v>
      </c>
    </row>
    <row r="125" spans="1:10" ht="15.75">
      <c r="A125" s="72"/>
      <c r="B125" s="66"/>
      <c r="C125" s="66"/>
      <c r="D125" s="66"/>
      <c r="E125" s="66"/>
      <c r="F125" s="66"/>
      <c r="G125" s="66"/>
      <c r="H125" s="40"/>
      <c r="I125" s="46" t="s">
        <v>30</v>
      </c>
      <c r="J125" s="47">
        <f>SUM(J124)</f>
        <v>977.99420099999998</v>
      </c>
    </row>
    <row r="126" spans="1:10">
      <c r="A126" s="48" t="s">
        <v>225</v>
      </c>
      <c r="B126" s="48" t="s">
        <v>226</v>
      </c>
      <c r="C126" s="49"/>
      <c r="D126" s="50"/>
      <c r="E126" s="51"/>
      <c r="F126" s="51"/>
      <c r="G126" s="51"/>
      <c r="H126" s="51"/>
      <c r="I126" s="51"/>
      <c r="J126" s="51"/>
    </row>
    <row r="127" spans="1:10">
      <c r="A127" s="31" t="s">
        <v>227</v>
      </c>
      <c r="B127" s="32" t="s">
        <v>228</v>
      </c>
      <c r="C127" s="31"/>
      <c r="D127" s="43"/>
      <c r="E127" s="44"/>
      <c r="F127" s="44"/>
      <c r="G127" s="44"/>
      <c r="H127" s="44"/>
      <c r="I127" s="44"/>
      <c r="J127" s="44"/>
    </row>
    <row r="128" spans="1:10" ht="15.75">
      <c r="A128" s="36" t="s">
        <v>229</v>
      </c>
      <c r="B128" s="37"/>
      <c r="C128" s="36" t="s">
        <v>230</v>
      </c>
      <c r="D128" s="38" t="s">
        <v>0</v>
      </c>
      <c r="E128" s="39">
        <v>3.03</v>
      </c>
      <c r="F128" s="39">
        <v>7.44</v>
      </c>
      <c r="G128" s="39">
        <v>10.47</v>
      </c>
      <c r="H128" s="40">
        <f t="shared" ref="H128" si="56">G128*1.2293</f>
        <v>12.870771000000001</v>
      </c>
      <c r="I128" s="65">
        <f>((130+100+10)*3)+48</f>
        <v>768</v>
      </c>
      <c r="J128" s="42">
        <f t="shared" ref="J128" si="57">H128*I128</f>
        <v>9884.7521280000001</v>
      </c>
    </row>
    <row r="129" spans="1:10">
      <c r="A129" s="31" t="s">
        <v>231</v>
      </c>
      <c r="B129" s="32" t="s">
        <v>232</v>
      </c>
      <c r="C129" s="31"/>
      <c r="D129" s="43"/>
      <c r="E129" s="44"/>
      <c r="F129" s="44"/>
      <c r="G129" s="44"/>
      <c r="H129" s="44"/>
      <c r="I129" s="44"/>
      <c r="J129" s="44"/>
    </row>
    <row r="130" spans="1:10" ht="15.75">
      <c r="A130" s="36" t="s">
        <v>233</v>
      </c>
      <c r="B130" s="37"/>
      <c r="C130" s="36" t="s">
        <v>234</v>
      </c>
      <c r="D130" s="38" t="s">
        <v>0</v>
      </c>
      <c r="E130" s="39">
        <v>2.64</v>
      </c>
      <c r="F130" s="39">
        <v>13.02</v>
      </c>
      <c r="G130" s="39">
        <v>15.66</v>
      </c>
      <c r="H130" s="40">
        <f t="shared" ref="H130" si="58">G130*1.2293</f>
        <v>19.250838000000002</v>
      </c>
      <c r="I130" s="65">
        <f>98</f>
        <v>98</v>
      </c>
      <c r="J130" s="42">
        <f t="shared" ref="J130" si="59">H130*I130</f>
        <v>1886.5821240000002</v>
      </c>
    </row>
    <row r="131" spans="1:10" ht="30">
      <c r="A131" s="31" t="s">
        <v>235</v>
      </c>
      <c r="B131" s="32" t="s">
        <v>236</v>
      </c>
      <c r="C131" s="31"/>
      <c r="D131" s="43"/>
      <c r="E131" s="44"/>
      <c r="F131" s="44"/>
      <c r="G131" s="44"/>
      <c r="H131" s="44"/>
      <c r="I131" s="44"/>
      <c r="J131" s="44"/>
    </row>
    <row r="132" spans="1:10" ht="15.75">
      <c r="A132" s="36" t="s">
        <v>237</v>
      </c>
      <c r="B132" s="37"/>
      <c r="C132" s="36" t="s">
        <v>238</v>
      </c>
      <c r="D132" s="38" t="s">
        <v>0</v>
      </c>
      <c r="E132" s="39">
        <v>4.28</v>
      </c>
      <c r="F132" s="39">
        <v>13.02</v>
      </c>
      <c r="G132" s="39">
        <v>17.3</v>
      </c>
      <c r="H132" s="40">
        <f t="shared" ref="H132" si="60">G132*1.2293</f>
        <v>21.266890000000004</v>
      </c>
      <c r="I132" s="65">
        <f>((6*20)*3.25)+(8*20*3.5)+(4*3.5*3.5)+(4*3.85*3.5)+(6*4.8*3)+48</f>
        <v>1187.3000000000002</v>
      </c>
      <c r="J132" s="42">
        <f t="shared" ref="J132" si="61">H132*I132</f>
        <v>25250.178497000008</v>
      </c>
    </row>
    <row r="133" spans="1:10" ht="30">
      <c r="A133" s="31" t="s">
        <v>239</v>
      </c>
      <c r="B133" s="32" t="s">
        <v>240</v>
      </c>
      <c r="C133" s="31"/>
      <c r="D133" s="43"/>
      <c r="E133" s="44"/>
      <c r="F133" s="44"/>
      <c r="G133" s="44"/>
      <c r="H133" s="44"/>
      <c r="I133" s="44"/>
      <c r="J133" s="44"/>
    </row>
    <row r="134" spans="1:10" ht="30">
      <c r="A134" s="36" t="s">
        <v>241</v>
      </c>
      <c r="B134" s="37"/>
      <c r="C134" s="36" t="s">
        <v>242</v>
      </c>
      <c r="D134" s="38" t="s">
        <v>0</v>
      </c>
      <c r="E134" s="39">
        <v>10.49</v>
      </c>
      <c r="F134" s="39">
        <v>18.260000000000002</v>
      </c>
      <c r="G134" s="39">
        <v>28.75</v>
      </c>
      <c r="H134" s="40">
        <f t="shared" ref="H134" si="62">G134*1.2293</f>
        <v>35.342375000000004</v>
      </c>
      <c r="I134" s="65">
        <f>((3*2.1*2)+(10*2*1)+(3*1*0.6))*2</f>
        <v>68.8</v>
      </c>
      <c r="J134" s="42">
        <f t="shared" ref="J134" si="63">H134*I134</f>
        <v>2431.5554000000002</v>
      </c>
    </row>
    <row r="135" spans="1:10" ht="30">
      <c r="A135" s="31" t="s">
        <v>243</v>
      </c>
      <c r="B135" s="32" t="s">
        <v>244</v>
      </c>
      <c r="C135" s="31"/>
      <c r="D135" s="43"/>
      <c r="E135" s="44"/>
      <c r="F135" s="44"/>
      <c r="G135" s="44"/>
      <c r="H135" s="44"/>
      <c r="I135" s="44"/>
      <c r="J135" s="44"/>
    </row>
    <row r="136" spans="1:10" ht="16.5" customHeight="1">
      <c r="A136" s="36" t="s">
        <v>245</v>
      </c>
      <c r="B136" s="37"/>
      <c r="C136" s="36" t="s">
        <v>246</v>
      </c>
      <c r="D136" s="38" t="s">
        <v>0</v>
      </c>
      <c r="E136" s="39">
        <v>10.75</v>
      </c>
      <c r="F136" s="39">
        <v>18.260000000000002</v>
      </c>
      <c r="G136" s="39">
        <v>29.01</v>
      </c>
      <c r="H136" s="40">
        <f t="shared" ref="H136" si="64">G136*1.2293</f>
        <v>35.661993000000002</v>
      </c>
      <c r="I136" s="65">
        <f>12*2.1*0.8*2</f>
        <v>40.320000000000007</v>
      </c>
      <c r="J136" s="42">
        <f t="shared" ref="J136" si="65">H136*I136</f>
        <v>1437.8915577600003</v>
      </c>
    </row>
    <row r="137" spans="1:10" ht="15.75">
      <c r="A137" s="40"/>
      <c r="B137" s="40"/>
      <c r="C137" s="40"/>
      <c r="D137" s="40"/>
      <c r="E137" s="40"/>
      <c r="F137" s="40"/>
      <c r="G137" s="40"/>
      <c r="H137" s="40"/>
      <c r="I137" s="46" t="s">
        <v>30</v>
      </c>
      <c r="J137" s="47">
        <f>SUM(J128:J136)</f>
        <v>40890.959706760004</v>
      </c>
    </row>
    <row r="138" spans="1:10">
      <c r="A138" s="48" t="s">
        <v>247</v>
      </c>
      <c r="B138" s="48" t="s">
        <v>248</v>
      </c>
      <c r="C138" s="49"/>
      <c r="D138" s="50"/>
      <c r="E138" s="51"/>
      <c r="F138" s="51"/>
      <c r="G138" s="51"/>
      <c r="H138" s="51"/>
      <c r="I138" s="51"/>
      <c r="J138" s="51"/>
    </row>
    <row r="139" spans="1:10" ht="30">
      <c r="A139" s="31" t="s">
        <v>249</v>
      </c>
      <c r="B139" s="32" t="s">
        <v>250</v>
      </c>
      <c r="C139" s="31"/>
      <c r="D139" s="43"/>
      <c r="E139" s="44"/>
      <c r="F139" s="44"/>
      <c r="G139" s="44"/>
      <c r="H139" s="44"/>
      <c r="I139" s="44"/>
      <c r="J139" s="44"/>
    </row>
    <row r="140" spans="1:10" ht="30">
      <c r="A140" s="36" t="s">
        <v>251</v>
      </c>
      <c r="B140" s="37"/>
      <c r="C140" s="36" t="s">
        <v>252</v>
      </c>
      <c r="D140" s="38" t="s">
        <v>7</v>
      </c>
      <c r="E140" s="39">
        <v>111.75</v>
      </c>
      <c r="F140" s="39">
        <v>105.36</v>
      </c>
      <c r="G140" s="39">
        <v>217.11</v>
      </c>
      <c r="H140" s="40">
        <f t="shared" ref="H140" si="66">G140*1.2293</f>
        <v>266.89332300000001</v>
      </c>
      <c r="I140" s="65">
        <v>2</v>
      </c>
      <c r="J140" s="42">
        <f t="shared" ref="J140" si="67">H140*I140</f>
        <v>533.78664600000002</v>
      </c>
    </row>
    <row r="141" spans="1:10" ht="15.75">
      <c r="A141" s="72"/>
      <c r="B141" s="66"/>
      <c r="C141" s="66"/>
      <c r="D141" s="66"/>
      <c r="E141" s="66"/>
      <c r="F141" s="66"/>
      <c r="G141" s="66"/>
      <c r="H141" s="40"/>
      <c r="I141" s="46" t="s">
        <v>30</v>
      </c>
      <c r="J141" s="47">
        <f>SUM(J140)</f>
        <v>533.78664600000002</v>
      </c>
    </row>
    <row r="142" spans="1:10">
      <c r="A142" s="48" t="s">
        <v>253</v>
      </c>
      <c r="B142" s="48" t="s">
        <v>254</v>
      </c>
      <c r="C142" s="49"/>
      <c r="D142" s="50"/>
      <c r="E142" s="51"/>
      <c r="F142" s="51"/>
      <c r="G142" s="51"/>
      <c r="H142" s="51"/>
      <c r="I142" s="51"/>
      <c r="J142" s="51"/>
    </row>
    <row r="143" spans="1:10">
      <c r="A143" s="31" t="s">
        <v>255</v>
      </c>
      <c r="B143" s="32" t="s">
        <v>256</v>
      </c>
      <c r="C143" s="31"/>
      <c r="D143" s="43"/>
      <c r="E143" s="44"/>
      <c r="F143" s="44"/>
      <c r="G143" s="44"/>
      <c r="H143" s="44"/>
      <c r="I143" s="44"/>
      <c r="J143" s="44"/>
    </row>
    <row r="144" spans="1:10" ht="17.25" customHeight="1">
      <c r="A144" s="36" t="s">
        <v>257</v>
      </c>
      <c r="B144" s="37"/>
      <c r="C144" s="36" t="s">
        <v>258</v>
      </c>
      <c r="D144" s="38" t="s">
        <v>7</v>
      </c>
      <c r="E144" s="39">
        <v>307.98</v>
      </c>
      <c r="F144" s="39">
        <v>14.46</v>
      </c>
      <c r="G144" s="39">
        <v>322.44</v>
      </c>
      <c r="H144" s="40">
        <f t="shared" ref="H144" si="68">G144*1.2293</f>
        <v>396.37549200000001</v>
      </c>
      <c r="I144" s="65">
        <v>6</v>
      </c>
      <c r="J144" s="42">
        <f t="shared" ref="J144" si="69">H144*I144</f>
        <v>2378.2529519999998</v>
      </c>
    </row>
    <row r="145" spans="1:10" ht="15.75">
      <c r="A145" s="36"/>
      <c r="B145" s="37"/>
      <c r="C145" s="36"/>
      <c r="D145" s="38"/>
      <c r="E145" s="39"/>
      <c r="F145" s="39"/>
      <c r="G145" s="39"/>
      <c r="H145" s="40"/>
      <c r="I145" s="46" t="s">
        <v>30</v>
      </c>
      <c r="J145" s="47">
        <f>SUM(J144)</f>
        <v>2378.2529519999998</v>
      </c>
    </row>
    <row r="146" spans="1:10">
      <c r="A146" s="48" t="s">
        <v>259</v>
      </c>
      <c r="B146" s="48" t="s">
        <v>260</v>
      </c>
      <c r="C146" s="49"/>
      <c r="D146" s="50"/>
      <c r="E146" s="51"/>
      <c r="F146" s="51"/>
      <c r="G146" s="51"/>
      <c r="H146" s="51"/>
      <c r="I146" s="51"/>
      <c r="J146" s="51"/>
    </row>
    <row r="147" spans="1:10" ht="30">
      <c r="A147" s="31" t="s">
        <v>261</v>
      </c>
      <c r="B147" s="32" t="s">
        <v>262</v>
      </c>
      <c r="C147" s="31"/>
      <c r="D147" s="43"/>
      <c r="E147" s="44"/>
      <c r="F147" s="44"/>
      <c r="G147" s="44"/>
      <c r="H147" s="44"/>
      <c r="I147" s="44"/>
      <c r="J147" s="44"/>
    </row>
    <row r="148" spans="1:10" ht="30.75" customHeight="1">
      <c r="A148" s="36" t="s">
        <v>263</v>
      </c>
      <c r="B148" s="37"/>
      <c r="C148" s="36" t="s">
        <v>264</v>
      </c>
      <c r="D148" s="38" t="s">
        <v>7</v>
      </c>
      <c r="E148" s="39">
        <v>397.39</v>
      </c>
      <c r="F148" s="39">
        <v>74.42</v>
      </c>
      <c r="G148" s="39">
        <v>471.81</v>
      </c>
      <c r="H148" s="40">
        <f t="shared" ref="H148" si="70">G148*1.2293</f>
        <v>579.99603300000001</v>
      </c>
      <c r="I148" s="65">
        <v>1</v>
      </c>
      <c r="J148" s="42">
        <f t="shared" ref="J148" si="71">H148*I148</f>
        <v>579.99603300000001</v>
      </c>
    </row>
    <row r="149" spans="1:10" ht="30">
      <c r="A149" s="31" t="s">
        <v>265</v>
      </c>
      <c r="B149" s="32" t="s">
        <v>266</v>
      </c>
      <c r="C149" s="31"/>
      <c r="D149" s="43"/>
      <c r="E149" s="44"/>
      <c r="F149" s="44"/>
      <c r="G149" s="44"/>
      <c r="H149" s="44"/>
      <c r="I149" s="44"/>
      <c r="J149" s="44"/>
    </row>
    <row r="150" spans="1:10" ht="30">
      <c r="A150" s="36" t="s">
        <v>267</v>
      </c>
      <c r="B150" s="37"/>
      <c r="C150" s="36" t="s">
        <v>268</v>
      </c>
      <c r="D150" s="38" t="s">
        <v>7</v>
      </c>
      <c r="E150" s="39">
        <v>11.27</v>
      </c>
      <c r="F150" s="39">
        <v>9.9600000000000009</v>
      </c>
      <c r="G150" s="39">
        <v>21.23</v>
      </c>
      <c r="H150" s="40">
        <f t="shared" ref="H150:H151" si="72">G150*1.2293</f>
        <v>26.098039000000004</v>
      </c>
      <c r="I150" s="65">
        <v>4</v>
      </c>
      <c r="J150" s="42">
        <f t="shared" ref="J150:J151" si="73">H150*I150</f>
        <v>104.39215600000001</v>
      </c>
    </row>
    <row r="151" spans="1:10" ht="30">
      <c r="A151" s="36" t="s">
        <v>269</v>
      </c>
      <c r="B151" s="37"/>
      <c r="C151" s="36" t="s">
        <v>270</v>
      </c>
      <c r="D151" s="38" t="s">
        <v>7</v>
      </c>
      <c r="E151" s="39">
        <v>19.78</v>
      </c>
      <c r="F151" s="39">
        <v>9.9600000000000009</v>
      </c>
      <c r="G151" s="39">
        <v>29.74</v>
      </c>
      <c r="H151" s="40">
        <f t="shared" si="72"/>
        <v>36.559381999999999</v>
      </c>
      <c r="I151" s="65">
        <v>5</v>
      </c>
      <c r="J151" s="42">
        <f t="shared" si="73"/>
        <v>182.79691</v>
      </c>
    </row>
    <row r="152" spans="1:10" ht="30">
      <c r="A152" s="31" t="s">
        <v>271</v>
      </c>
      <c r="B152" s="32" t="s">
        <v>272</v>
      </c>
      <c r="C152" s="31"/>
      <c r="D152" s="43"/>
      <c r="E152" s="44"/>
      <c r="F152" s="44"/>
      <c r="G152" s="44"/>
      <c r="H152" s="44"/>
      <c r="I152" s="44"/>
      <c r="J152" s="44"/>
    </row>
    <row r="153" spans="1:10" ht="18" customHeight="1">
      <c r="A153" s="36" t="s">
        <v>273</v>
      </c>
      <c r="B153" s="37"/>
      <c r="C153" s="36" t="s">
        <v>274</v>
      </c>
      <c r="D153" s="38" t="s">
        <v>7</v>
      </c>
      <c r="E153" s="39">
        <v>138.16</v>
      </c>
      <c r="F153" s="39">
        <v>8.3000000000000007</v>
      </c>
      <c r="G153" s="39">
        <v>146.46</v>
      </c>
      <c r="H153" s="40">
        <f t="shared" ref="H153:H154" si="74">G153*1.2293</f>
        <v>180.04327800000002</v>
      </c>
      <c r="I153" s="65">
        <v>1</v>
      </c>
      <c r="J153" s="42">
        <f t="shared" ref="J153:J154" si="75">H153*I153</f>
        <v>180.04327800000002</v>
      </c>
    </row>
    <row r="154" spans="1:10" ht="16.5" customHeight="1">
      <c r="A154" s="36" t="s">
        <v>275</v>
      </c>
      <c r="B154" s="37"/>
      <c r="C154" s="36" t="s">
        <v>276</v>
      </c>
      <c r="D154" s="38" t="s">
        <v>7</v>
      </c>
      <c r="E154" s="39">
        <v>194.66</v>
      </c>
      <c r="F154" s="39">
        <v>8.3000000000000007</v>
      </c>
      <c r="G154" s="39">
        <v>202.96</v>
      </c>
      <c r="H154" s="40">
        <f t="shared" si="74"/>
        <v>249.49872800000003</v>
      </c>
      <c r="I154" s="65">
        <v>1</v>
      </c>
      <c r="J154" s="42">
        <f t="shared" si="75"/>
        <v>249.49872800000003</v>
      </c>
    </row>
    <row r="155" spans="1:10" ht="30">
      <c r="A155" s="31" t="s">
        <v>277</v>
      </c>
      <c r="B155" s="32" t="s">
        <v>278</v>
      </c>
      <c r="C155" s="31"/>
      <c r="D155" s="43"/>
      <c r="E155" s="44"/>
      <c r="F155" s="44"/>
      <c r="G155" s="44"/>
      <c r="H155" s="44"/>
      <c r="I155" s="44"/>
      <c r="J155" s="44"/>
    </row>
    <row r="156" spans="1:10" ht="15.75">
      <c r="A156" s="36" t="s">
        <v>279</v>
      </c>
      <c r="B156" s="37"/>
      <c r="C156" s="36" t="s">
        <v>280</v>
      </c>
      <c r="D156" s="38" t="s">
        <v>7</v>
      </c>
      <c r="E156" s="39">
        <v>16.989999999999998</v>
      </c>
      <c r="F156" s="39">
        <v>4.97</v>
      </c>
      <c r="G156" s="39">
        <v>21.96</v>
      </c>
      <c r="H156" s="40">
        <f t="shared" ref="H156" si="76">G156*1.2293</f>
        <v>26.995428000000004</v>
      </c>
      <c r="I156" s="65">
        <v>1</v>
      </c>
      <c r="J156" s="42">
        <f t="shared" ref="J156" si="77">H156*I156</f>
        <v>26.995428000000004</v>
      </c>
    </row>
    <row r="157" spans="1:10" ht="15.75">
      <c r="A157" s="36" t="s">
        <v>281</v>
      </c>
      <c r="B157" s="37"/>
      <c r="C157" s="36" t="s">
        <v>282</v>
      </c>
      <c r="D157" s="38" t="s">
        <v>7</v>
      </c>
      <c r="E157" s="39">
        <v>20.05</v>
      </c>
      <c r="F157" s="39">
        <v>1.65</v>
      </c>
      <c r="G157" s="39">
        <v>21.7</v>
      </c>
      <c r="H157" s="40">
        <f t="shared" ref="H157:H158" si="78">G157*1.2293</f>
        <v>26.675810000000002</v>
      </c>
      <c r="I157" s="65">
        <v>1</v>
      </c>
      <c r="J157" s="42">
        <f t="shared" ref="J157:J158" si="79">H157*I157</f>
        <v>26.675810000000002</v>
      </c>
    </row>
    <row r="158" spans="1:10" ht="15.75">
      <c r="A158" s="36" t="s">
        <v>283</v>
      </c>
      <c r="B158" s="37"/>
      <c r="C158" s="36" t="s">
        <v>284</v>
      </c>
      <c r="D158" s="38" t="s">
        <v>7</v>
      </c>
      <c r="E158" s="39">
        <v>13.76</v>
      </c>
      <c r="F158" s="39">
        <v>4.97</v>
      </c>
      <c r="G158" s="39">
        <v>18.73</v>
      </c>
      <c r="H158" s="40">
        <f t="shared" si="78"/>
        <v>23.024789000000002</v>
      </c>
      <c r="I158" s="65">
        <v>1</v>
      </c>
      <c r="J158" s="42">
        <f t="shared" si="79"/>
        <v>23.024789000000002</v>
      </c>
    </row>
    <row r="159" spans="1:10">
      <c r="A159" s="31" t="s">
        <v>285</v>
      </c>
      <c r="B159" s="32" t="s">
        <v>286</v>
      </c>
      <c r="C159" s="31"/>
      <c r="D159" s="43"/>
      <c r="E159" s="44"/>
      <c r="F159" s="44"/>
      <c r="G159" s="44"/>
      <c r="H159" s="44"/>
      <c r="I159" s="44"/>
      <c r="J159" s="44"/>
    </row>
    <row r="160" spans="1:10" ht="30">
      <c r="A160" s="36" t="s">
        <v>287</v>
      </c>
      <c r="B160" s="37"/>
      <c r="C160" s="36" t="s">
        <v>288</v>
      </c>
      <c r="D160" s="38" t="s">
        <v>7</v>
      </c>
      <c r="E160" s="39">
        <v>64.39</v>
      </c>
      <c r="F160" s="39">
        <v>18.920000000000002</v>
      </c>
      <c r="G160" s="39">
        <v>83.31</v>
      </c>
      <c r="H160" s="40">
        <f t="shared" ref="H160" si="80">G160*1.2293</f>
        <v>102.41298300000001</v>
      </c>
      <c r="I160" s="65">
        <v>1</v>
      </c>
      <c r="J160" s="42">
        <f t="shared" ref="J160" si="81">H160*I160</f>
        <v>102.41298300000001</v>
      </c>
    </row>
    <row r="161" spans="1:10" ht="15.75">
      <c r="A161" s="85"/>
      <c r="B161" s="86"/>
      <c r="C161" s="85"/>
      <c r="D161" s="87"/>
      <c r="E161" s="88"/>
      <c r="F161" s="88"/>
      <c r="G161" s="88"/>
      <c r="H161" s="40"/>
      <c r="I161" s="46" t="s">
        <v>30</v>
      </c>
      <c r="J161" s="47">
        <f>SUM(J148:J160)</f>
        <v>1475.8361150000001</v>
      </c>
    </row>
    <row r="162" spans="1:10">
      <c r="A162" s="48" t="s">
        <v>289</v>
      </c>
      <c r="B162" s="48" t="s">
        <v>290</v>
      </c>
      <c r="C162" s="49"/>
      <c r="D162" s="50"/>
      <c r="E162" s="51"/>
      <c r="F162" s="51"/>
      <c r="G162" s="51"/>
      <c r="H162" s="51"/>
      <c r="I162" s="51"/>
      <c r="J162" s="51"/>
    </row>
    <row r="163" spans="1:10">
      <c r="A163" s="52" t="s">
        <v>291</v>
      </c>
      <c r="B163" s="52" t="s">
        <v>292</v>
      </c>
      <c r="C163" s="53"/>
      <c r="D163" s="54"/>
      <c r="E163" s="55"/>
      <c r="F163" s="55"/>
      <c r="G163" s="55"/>
      <c r="H163" s="55"/>
      <c r="I163" s="55"/>
      <c r="J163" s="55"/>
    </row>
    <row r="164" spans="1:10" ht="16.5" customHeight="1">
      <c r="A164" s="36" t="s">
        <v>293</v>
      </c>
      <c r="B164" s="37"/>
      <c r="C164" s="36" t="s">
        <v>294</v>
      </c>
      <c r="D164" s="38" t="s">
        <v>10</v>
      </c>
      <c r="E164" s="39">
        <v>3.74</v>
      </c>
      <c r="F164" s="39">
        <v>16.600000000000001</v>
      </c>
      <c r="G164" s="39">
        <v>20.34</v>
      </c>
      <c r="H164" s="40">
        <f t="shared" ref="H164" si="82">G164*1.2293</f>
        <v>25.003962000000001</v>
      </c>
      <c r="I164" s="65">
        <f>36+6</f>
        <v>42</v>
      </c>
      <c r="J164" s="42">
        <f t="shared" ref="J164" si="83">H164*I164</f>
        <v>1050.1664040000001</v>
      </c>
    </row>
    <row r="165" spans="1:10" ht="15" customHeight="1">
      <c r="A165" s="36" t="s">
        <v>295</v>
      </c>
      <c r="B165" s="37"/>
      <c r="C165" s="36" t="s">
        <v>296</v>
      </c>
      <c r="D165" s="38" t="s">
        <v>10</v>
      </c>
      <c r="E165" s="39">
        <v>5.47</v>
      </c>
      <c r="F165" s="39">
        <v>19.91</v>
      </c>
      <c r="G165" s="39">
        <v>25.38</v>
      </c>
      <c r="H165" s="40">
        <f t="shared" ref="H165" si="84">G165*1.2293</f>
        <v>31.199634</v>
      </c>
      <c r="I165" s="65">
        <v>12</v>
      </c>
      <c r="J165" s="42">
        <f t="shared" ref="J165" si="85">H165*I165</f>
        <v>374.39560799999998</v>
      </c>
    </row>
    <row r="166" spans="1:10" ht="30">
      <c r="A166" s="31" t="s">
        <v>297</v>
      </c>
      <c r="B166" s="32" t="s">
        <v>298</v>
      </c>
      <c r="C166" s="31"/>
      <c r="D166" s="43"/>
      <c r="E166" s="44"/>
      <c r="F166" s="44"/>
      <c r="G166" s="44"/>
      <c r="H166" s="44"/>
      <c r="I166" s="44"/>
      <c r="J166" s="44"/>
    </row>
    <row r="167" spans="1:10" ht="17.25" customHeight="1">
      <c r="A167" s="36" t="s">
        <v>299</v>
      </c>
      <c r="B167" s="37"/>
      <c r="C167" s="36" t="s">
        <v>300</v>
      </c>
      <c r="D167" s="38" t="s">
        <v>10</v>
      </c>
      <c r="E167" s="39">
        <v>14.53</v>
      </c>
      <c r="F167" s="39">
        <v>29.87</v>
      </c>
      <c r="G167" s="39">
        <v>44.4</v>
      </c>
      <c r="H167" s="40">
        <f t="shared" ref="H167" si="86">G167*1.2293</f>
        <v>54.580919999999999</v>
      </c>
      <c r="I167" s="65">
        <v>2</v>
      </c>
      <c r="J167" s="42">
        <f t="shared" ref="J167" si="87">H167*I167</f>
        <v>109.16184</v>
      </c>
    </row>
    <row r="168" spans="1:10" ht="30">
      <c r="A168" s="31" t="s">
        <v>301</v>
      </c>
      <c r="B168" s="32" t="s">
        <v>302</v>
      </c>
      <c r="C168" s="31"/>
      <c r="D168" s="43"/>
      <c r="E168" s="44"/>
      <c r="F168" s="44"/>
      <c r="G168" s="44"/>
      <c r="H168" s="44"/>
      <c r="I168" s="44"/>
      <c r="J168" s="44"/>
    </row>
    <row r="169" spans="1:10" ht="30">
      <c r="A169" s="36" t="s">
        <v>303</v>
      </c>
      <c r="B169" s="37"/>
      <c r="C169" s="36" t="s">
        <v>304</v>
      </c>
      <c r="D169" s="38" t="s">
        <v>10</v>
      </c>
      <c r="E169" s="39">
        <v>1.63</v>
      </c>
      <c r="F169" s="39">
        <v>9.9600000000000009</v>
      </c>
      <c r="G169" s="39">
        <v>11.59</v>
      </c>
      <c r="H169" s="40">
        <f t="shared" ref="H169:H170" si="88">G169*1.2293</f>
        <v>14.247587000000001</v>
      </c>
      <c r="I169" s="65">
        <f>60+9</f>
        <v>69</v>
      </c>
      <c r="J169" s="42">
        <f t="shared" ref="J169:J170" si="89">H169*I169</f>
        <v>983.08350300000006</v>
      </c>
    </row>
    <row r="170" spans="1:10" ht="30">
      <c r="A170" s="36" t="s">
        <v>305</v>
      </c>
      <c r="B170" s="37"/>
      <c r="C170" s="36" t="s">
        <v>306</v>
      </c>
      <c r="D170" s="38" t="s">
        <v>10</v>
      </c>
      <c r="E170" s="39">
        <v>1.87</v>
      </c>
      <c r="F170" s="39">
        <v>9.9600000000000009</v>
      </c>
      <c r="G170" s="39">
        <v>11.83</v>
      </c>
      <c r="H170" s="40">
        <f t="shared" si="88"/>
        <v>14.542619</v>
      </c>
      <c r="I170" s="65">
        <v>60</v>
      </c>
      <c r="J170" s="42">
        <f t="shared" si="89"/>
        <v>872.55714</v>
      </c>
    </row>
    <row r="171" spans="1:10" ht="15.75">
      <c r="A171" s="36"/>
      <c r="B171" s="37"/>
      <c r="C171" s="36"/>
      <c r="D171" s="38"/>
      <c r="E171" s="39"/>
      <c r="F171" s="39"/>
      <c r="G171" s="39"/>
      <c r="H171" s="40"/>
      <c r="I171" s="46" t="s">
        <v>30</v>
      </c>
      <c r="J171" s="47">
        <f>SUM(J164:J170)</f>
        <v>3389.3644949999998</v>
      </c>
    </row>
    <row r="172" spans="1:10">
      <c r="A172" s="89" t="s">
        <v>307</v>
      </c>
      <c r="B172" s="89" t="s">
        <v>308</v>
      </c>
      <c r="C172" s="90"/>
      <c r="D172" s="91"/>
      <c r="E172" s="92"/>
      <c r="F172" s="92"/>
      <c r="G172" s="92"/>
      <c r="H172" s="92"/>
      <c r="I172" s="92"/>
      <c r="J172" s="92"/>
    </row>
    <row r="173" spans="1:10" ht="30">
      <c r="A173" s="31" t="s">
        <v>309</v>
      </c>
      <c r="B173" s="32" t="s">
        <v>310</v>
      </c>
      <c r="C173" s="31"/>
      <c r="D173" s="43"/>
      <c r="E173" s="44"/>
      <c r="F173" s="44"/>
      <c r="G173" s="44"/>
      <c r="H173" s="44"/>
      <c r="I173" s="44"/>
      <c r="J173" s="44"/>
    </row>
    <row r="174" spans="1:10" ht="30">
      <c r="A174" s="36" t="s">
        <v>311</v>
      </c>
      <c r="B174" s="37"/>
      <c r="C174" s="36" t="s">
        <v>312</v>
      </c>
      <c r="D174" s="38" t="s">
        <v>10</v>
      </c>
      <c r="E174" s="39">
        <v>4.7</v>
      </c>
      <c r="F174" s="39">
        <v>2.65</v>
      </c>
      <c r="G174" s="39">
        <v>7.35</v>
      </c>
      <c r="H174" s="40">
        <f t="shared" ref="H174:H182" si="90">G174*1.2293</f>
        <v>9.0353549999999991</v>
      </c>
      <c r="I174" s="65">
        <v>10</v>
      </c>
      <c r="J174" s="42">
        <f t="shared" ref="J174:J182" si="91">H174*I174</f>
        <v>90.353549999999984</v>
      </c>
    </row>
    <row r="175" spans="1:10" ht="30">
      <c r="A175" s="31" t="s">
        <v>313</v>
      </c>
      <c r="B175" s="32" t="s">
        <v>314</v>
      </c>
      <c r="C175" s="31"/>
      <c r="D175" s="43"/>
      <c r="E175" s="44"/>
      <c r="F175" s="44"/>
      <c r="G175" s="44"/>
      <c r="H175" s="44"/>
      <c r="I175" s="44"/>
      <c r="J175" s="44"/>
    </row>
    <row r="176" spans="1:10" ht="15.75" customHeight="1">
      <c r="A176" s="36" t="s">
        <v>315</v>
      </c>
      <c r="B176" s="37"/>
      <c r="C176" s="36" t="s">
        <v>534</v>
      </c>
      <c r="D176" s="38" t="s">
        <v>7</v>
      </c>
      <c r="E176" s="39">
        <v>5.6</v>
      </c>
      <c r="F176" s="39">
        <v>3.32</v>
      </c>
      <c r="G176" s="39">
        <v>8.92</v>
      </c>
      <c r="H176" s="40">
        <f t="shared" si="90"/>
        <v>10.965356</v>
      </c>
      <c r="I176" s="65">
        <v>2</v>
      </c>
      <c r="J176" s="42">
        <f t="shared" si="91"/>
        <v>21.930712</v>
      </c>
    </row>
    <row r="177" spans="1:10" ht="30">
      <c r="A177" s="31" t="s">
        <v>316</v>
      </c>
      <c r="B177" s="32" t="s">
        <v>317</v>
      </c>
      <c r="C177" s="31"/>
      <c r="D177" s="43"/>
      <c r="E177" s="44"/>
      <c r="F177" s="44"/>
      <c r="G177" s="44"/>
      <c r="H177" s="44"/>
      <c r="I177" s="44"/>
      <c r="J177" s="44"/>
    </row>
    <row r="178" spans="1:10" ht="30">
      <c r="A178" s="36" t="s">
        <v>318</v>
      </c>
      <c r="B178" s="37"/>
      <c r="C178" s="36" t="s">
        <v>319</v>
      </c>
      <c r="D178" s="38" t="s">
        <v>7</v>
      </c>
      <c r="E178" s="39">
        <v>3.63</v>
      </c>
      <c r="F178" s="39">
        <v>4.97</v>
      </c>
      <c r="G178" s="39">
        <v>8.6</v>
      </c>
      <c r="H178" s="40">
        <f t="shared" si="90"/>
        <v>10.57198</v>
      </c>
      <c r="I178" s="65">
        <v>2</v>
      </c>
      <c r="J178" s="42">
        <f t="shared" si="91"/>
        <v>21.14396</v>
      </c>
    </row>
    <row r="179" spans="1:10" ht="30">
      <c r="A179" s="31" t="s">
        <v>320</v>
      </c>
      <c r="B179" s="32" t="s">
        <v>321</v>
      </c>
      <c r="C179" s="31"/>
      <c r="D179" s="43"/>
      <c r="E179" s="44"/>
      <c r="F179" s="44"/>
      <c r="G179" s="44"/>
      <c r="H179" s="44"/>
      <c r="I179" s="44"/>
      <c r="J179" s="44"/>
    </row>
    <row r="180" spans="1:10" ht="30">
      <c r="A180" s="36" t="s">
        <v>324</v>
      </c>
      <c r="B180" s="37"/>
      <c r="C180" s="36" t="s">
        <v>325</v>
      </c>
      <c r="D180" s="38" t="s">
        <v>10</v>
      </c>
      <c r="E180" s="39">
        <v>1.36</v>
      </c>
      <c r="F180" s="39">
        <v>0.66</v>
      </c>
      <c r="G180" s="39">
        <v>2.02</v>
      </c>
      <c r="H180" s="40">
        <f t="shared" si="90"/>
        <v>2.4831860000000003</v>
      </c>
      <c r="I180" s="65">
        <f>100+10</f>
        <v>110</v>
      </c>
      <c r="J180" s="42">
        <f t="shared" si="91"/>
        <v>273.15046000000001</v>
      </c>
    </row>
    <row r="181" spans="1:10" ht="30">
      <c r="A181" s="36" t="s">
        <v>326</v>
      </c>
      <c r="B181" s="37"/>
      <c r="C181" s="36" t="s">
        <v>327</v>
      </c>
      <c r="D181" s="38" t="s">
        <v>10</v>
      </c>
      <c r="E181" s="39">
        <v>2.13</v>
      </c>
      <c r="F181" s="39">
        <v>0.66</v>
      </c>
      <c r="G181" s="39">
        <v>2.79</v>
      </c>
      <c r="H181" s="40">
        <f t="shared" si="90"/>
        <v>3.4297470000000003</v>
      </c>
      <c r="I181" s="65">
        <v>100</v>
      </c>
      <c r="J181" s="42">
        <f t="shared" si="91"/>
        <v>342.97470000000004</v>
      </c>
    </row>
    <row r="182" spans="1:10" ht="30">
      <c r="A182" s="36" t="s">
        <v>322</v>
      </c>
      <c r="B182" s="37"/>
      <c r="C182" s="36" t="s">
        <v>323</v>
      </c>
      <c r="D182" s="38" t="s">
        <v>10</v>
      </c>
      <c r="E182" s="39">
        <v>3.74</v>
      </c>
      <c r="F182" s="39">
        <v>1.65</v>
      </c>
      <c r="G182" s="39">
        <v>5.39</v>
      </c>
      <c r="H182" s="40">
        <f t="shared" si="90"/>
        <v>6.6259269999999999</v>
      </c>
      <c r="I182" s="65">
        <v>100</v>
      </c>
      <c r="J182" s="42">
        <f t="shared" si="91"/>
        <v>662.59270000000004</v>
      </c>
    </row>
    <row r="183" spans="1:10" ht="15.75">
      <c r="A183" s="36"/>
      <c r="B183" s="37"/>
      <c r="C183" s="36"/>
      <c r="D183" s="38"/>
      <c r="E183" s="39"/>
      <c r="F183" s="39"/>
      <c r="G183" s="39"/>
      <c r="H183" s="40"/>
      <c r="I183" s="46" t="s">
        <v>30</v>
      </c>
      <c r="J183" s="47">
        <f>SUM(J174:J182)</f>
        <v>1412.1460820000002</v>
      </c>
    </row>
    <row r="184" spans="1:10">
      <c r="A184" s="48" t="s">
        <v>328</v>
      </c>
      <c r="B184" s="48" t="s">
        <v>329</v>
      </c>
      <c r="C184" s="49"/>
      <c r="D184" s="50"/>
      <c r="E184" s="51"/>
      <c r="F184" s="51"/>
      <c r="G184" s="51"/>
      <c r="H184" s="51"/>
      <c r="I184" s="51"/>
      <c r="J184" s="51"/>
    </row>
    <row r="185" spans="1:10">
      <c r="A185" s="52" t="s">
        <v>330</v>
      </c>
      <c r="B185" s="52" t="s">
        <v>331</v>
      </c>
      <c r="C185" s="53"/>
      <c r="D185" s="54"/>
      <c r="E185" s="55"/>
      <c r="F185" s="55"/>
      <c r="G185" s="55"/>
      <c r="H185" s="55"/>
      <c r="I185" s="55"/>
      <c r="J185" s="55"/>
    </row>
    <row r="186" spans="1:10" ht="15.75">
      <c r="A186" s="36" t="s">
        <v>332</v>
      </c>
      <c r="B186" s="37"/>
      <c r="C186" s="36" t="s">
        <v>333</v>
      </c>
      <c r="D186" s="38" t="s">
        <v>7</v>
      </c>
      <c r="E186" s="39">
        <v>2.4900000000000002</v>
      </c>
      <c r="F186" s="39">
        <v>8.3000000000000007</v>
      </c>
      <c r="G186" s="39">
        <v>10.79</v>
      </c>
      <c r="H186" s="40">
        <f t="shared" ref="H186:H187" si="92">G186*1.2293</f>
        <v>13.264146999999999</v>
      </c>
      <c r="I186" s="65">
        <f>25+2</f>
        <v>27</v>
      </c>
      <c r="J186" s="42">
        <f t="shared" ref="J186:J187" si="93">H186*I186</f>
        <v>358.13196899999997</v>
      </c>
    </row>
    <row r="187" spans="1:10" ht="15.75">
      <c r="A187" s="36" t="s">
        <v>334</v>
      </c>
      <c r="B187" s="37"/>
      <c r="C187" s="36" t="s">
        <v>335</v>
      </c>
      <c r="D187" s="38" t="s">
        <v>7</v>
      </c>
      <c r="E187" s="39">
        <v>4.76</v>
      </c>
      <c r="F187" s="39">
        <v>8.3000000000000007</v>
      </c>
      <c r="G187" s="39">
        <v>13.06</v>
      </c>
      <c r="H187" s="40">
        <f t="shared" si="92"/>
        <v>16.054658</v>
      </c>
      <c r="I187" s="65">
        <f>5+1</f>
        <v>6</v>
      </c>
      <c r="J187" s="42">
        <f t="shared" si="93"/>
        <v>96.327947999999992</v>
      </c>
    </row>
    <row r="188" spans="1:10" ht="30">
      <c r="A188" s="31" t="s">
        <v>336</v>
      </c>
      <c r="B188" s="32" t="s">
        <v>337</v>
      </c>
      <c r="C188" s="31"/>
      <c r="D188" s="43"/>
      <c r="E188" s="44"/>
      <c r="F188" s="44"/>
      <c r="G188" s="44"/>
      <c r="H188" s="44"/>
      <c r="I188" s="44"/>
      <c r="J188" s="44"/>
    </row>
    <row r="189" spans="1:10" ht="15.75">
      <c r="A189" s="36" t="s">
        <v>338</v>
      </c>
      <c r="B189" s="37"/>
      <c r="C189" s="36" t="s">
        <v>339</v>
      </c>
      <c r="D189" s="38" t="s">
        <v>198</v>
      </c>
      <c r="E189" s="39">
        <v>7.84</v>
      </c>
      <c r="F189" s="39">
        <v>9.9600000000000009</v>
      </c>
      <c r="G189" s="39">
        <v>17.8</v>
      </c>
      <c r="H189" s="40">
        <f t="shared" ref="H189:H190" si="94">G189*1.2293</f>
        <v>21.881540000000001</v>
      </c>
      <c r="I189" s="65">
        <f>17+2</f>
        <v>19</v>
      </c>
      <c r="J189" s="42">
        <f t="shared" ref="J189:J190" si="95">H189*I189</f>
        <v>415.74926000000005</v>
      </c>
    </row>
    <row r="190" spans="1:10" ht="15.75">
      <c r="A190" s="36" t="s">
        <v>340</v>
      </c>
      <c r="B190" s="37"/>
      <c r="C190" s="36" t="s">
        <v>341</v>
      </c>
      <c r="D190" s="38" t="s">
        <v>198</v>
      </c>
      <c r="E190" s="39">
        <v>15.56</v>
      </c>
      <c r="F190" s="39">
        <v>9.9600000000000009</v>
      </c>
      <c r="G190" s="39">
        <v>25.52</v>
      </c>
      <c r="H190" s="40">
        <f t="shared" si="94"/>
        <v>31.371736000000002</v>
      </c>
      <c r="I190" s="65">
        <f>4+1</f>
        <v>5</v>
      </c>
      <c r="J190" s="42">
        <f t="shared" si="95"/>
        <v>156.85868000000002</v>
      </c>
    </row>
    <row r="191" spans="1:10" ht="30">
      <c r="A191" s="31" t="s">
        <v>342</v>
      </c>
      <c r="B191" s="32" t="s">
        <v>343</v>
      </c>
      <c r="C191" s="31"/>
      <c r="D191" s="43"/>
      <c r="E191" s="44"/>
      <c r="F191" s="44"/>
      <c r="G191" s="44"/>
      <c r="H191" s="44"/>
      <c r="I191" s="44"/>
      <c r="J191" s="44"/>
    </row>
    <row r="192" spans="1:10" ht="15.75">
      <c r="A192" s="36" t="s">
        <v>344</v>
      </c>
      <c r="B192" s="37"/>
      <c r="C192" s="36" t="s">
        <v>345</v>
      </c>
      <c r="D192" s="38" t="s">
        <v>198</v>
      </c>
      <c r="E192" s="39">
        <v>6.06</v>
      </c>
      <c r="F192" s="39">
        <v>11.28</v>
      </c>
      <c r="G192" s="39">
        <v>17.34</v>
      </c>
      <c r="H192" s="40">
        <f t="shared" ref="H192:H193" si="96">G192*1.2293</f>
        <v>21.316062000000002</v>
      </c>
      <c r="I192" s="65">
        <f>8+1</f>
        <v>9</v>
      </c>
      <c r="J192" s="42">
        <f t="shared" ref="J192:J193" si="97">H192*I192</f>
        <v>191.84455800000001</v>
      </c>
    </row>
    <row r="193" spans="1:10" ht="30">
      <c r="A193" s="36" t="s">
        <v>346</v>
      </c>
      <c r="B193" s="37"/>
      <c r="C193" s="36" t="s">
        <v>347</v>
      </c>
      <c r="D193" s="38" t="s">
        <v>198</v>
      </c>
      <c r="E193" s="39">
        <v>54.08</v>
      </c>
      <c r="F193" s="39">
        <v>12.61</v>
      </c>
      <c r="G193" s="39">
        <v>66.69</v>
      </c>
      <c r="H193" s="40">
        <f t="shared" si="96"/>
        <v>81.982016999999999</v>
      </c>
      <c r="I193" s="65">
        <v>1</v>
      </c>
      <c r="J193" s="42">
        <f t="shared" si="97"/>
        <v>81.982016999999999</v>
      </c>
    </row>
    <row r="194" spans="1:10" ht="30">
      <c r="A194" s="31" t="s">
        <v>348</v>
      </c>
      <c r="B194" s="32" t="s">
        <v>349</v>
      </c>
      <c r="C194" s="31"/>
      <c r="D194" s="43"/>
      <c r="E194" s="44"/>
      <c r="F194" s="44"/>
      <c r="G194" s="44"/>
      <c r="H194" s="44"/>
      <c r="I194" s="44"/>
      <c r="J194" s="44"/>
    </row>
    <row r="195" spans="1:10" ht="15.75">
      <c r="A195" s="36" t="s">
        <v>350</v>
      </c>
      <c r="B195" s="37"/>
      <c r="C195" s="36" t="s">
        <v>351</v>
      </c>
      <c r="D195" s="38" t="s">
        <v>198</v>
      </c>
      <c r="E195" s="39">
        <v>12.73</v>
      </c>
      <c r="F195" s="39">
        <v>16.600000000000001</v>
      </c>
      <c r="G195" s="39">
        <v>29.33</v>
      </c>
      <c r="H195" s="40">
        <f t="shared" ref="H195:H197" si="98">G195*1.2293</f>
        <v>36.055368999999999</v>
      </c>
      <c r="I195" s="65">
        <f>12+3</f>
        <v>15</v>
      </c>
      <c r="J195" s="42">
        <f t="shared" ref="J195:J197" si="99">H195*I195</f>
        <v>540.83053499999994</v>
      </c>
    </row>
    <row r="196" spans="1:10" ht="15.75">
      <c r="A196" s="36" t="s">
        <v>352</v>
      </c>
      <c r="B196" s="37"/>
      <c r="C196" s="36" t="s">
        <v>353</v>
      </c>
      <c r="D196" s="38" t="s">
        <v>198</v>
      </c>
      <c r="E196" s="39">
        <v>17.510000000000002</v>
      </c>
      <c r="F196" s="39">
        <v>16.600000000000001</v>
      </c>
      <c r="G196" s="39">
        <v>34.11</v>
      </c>
      <c r="H196" s="40">
        <f t="shared" si="98"/>
        <v>41.931423000000002</v>
      </c>
      <c r="I196" s="65">
        <v>4</v>
      </c>
      <c r="J196" s="42">
        <f t="shared" si="99"/>
        <v>167.72569200000001</v>
      </c>
    </row>
    <row r="197" spans="1:10" ht="15.75">
      <c r="A197" s="36" t="s">
        <v>354</v>
      </c>
      <c r="B197" s="37"/>
      <c r="C197" s="36" t="s">
        <v>355</v>
      </c>
      <c r="D197" s="38" t="s">
        <v>198</v>
      </c>
      <c r="E197" s="39">
        <v>36.11</v>
      </c>
      <c r="F197" s="39">
        <v>16.600000000000001</v>
      </c>
      <c r="G197" s="39">
        <v>52.71</v>
      </c>
      <c r="H197" s="40">
        <f t="shared" si="98"/>
        <v>64.796402999999998</v>
      </c>
      <c r="I197" s="65">
        <v>2</v>
      </c>
      <c r="J197" s="42">
        <f t="shared" si="99"/>
        <v>129.592806</v>
      </c>
    </row>
    <row r="198" spans="1:10" ht="15.75">
      <c r="A198" s="36"/>
      <c r="B198" s="37"/>
      <c r="C198" s="36"/>
      <c r="D198" s="38"/>
      <c r="E198" s="39"/>
      <c r="F198" s="39"/>
      <c r="G198" s="39"/>
      <c r="H198" s="40"/>
      <c r="I198" s="46" t="s">
        <v>30</v>
      </c>
      <c r="J198" s="47">
        <f>SUM(J186:J197)</f>
        <v>2139.0434650000002</v>
      </c>
    </row>
    <row r="199" spans="1:10">
      <c r="A199" s="48" t="s">
        <v>356</v>
      </c>
      <c r="B199" s="48" t="s">
        <v>357</v>
      </c>
      <c r="C199" s="49"/>
      <c r="D199" s="50"/>
      <c r="E199" s="51"/>
      <c r="F199" s="51"/>
      <c r="G199" s="51"/>
      <c r="H199" s="51"/>
      <c r="I199" s="51"/>
      <c r="J199" s="51"/>
    </row>
    <row r="200" spans="1:10">
      <c r="A200" s="52" t="s">
        <v>358</v>
      </c>
      <c r="B200" s="52" t="s">
        <v>359</v>
      </c>
      <c r="C200" s="53"/>
      <c r="D200" s="54"/>
      <c r="E200" s="55"/>
      <c r="F200" s="55"/>
      <c r="G200" s="55"/>
      <c r="H200" s="55"/>
      <c r="I200" s="55"/>
      <c r="J200" s="55"/>
    </row>
    <row r="201" spans="1:10" ht="30">
      <c r="A201" s="36" t="s">
        <v>360</v>
      </c>
      <c r="B201" s="37"/>
      <c r="C201" s="36" t="s">
        <v>361</v>
      </c>
      <c r="D201" s="38" t="s">
        <v>7</v>
      </c>
      <c r="E201" s="39">
        <v>28.67</v>
      </c>
      <c r="F201" s="39">
        <v>2.7</v>
      </c>
      <c r="G201" s="39">
        <v>31.37</v>
      </c>
      <c r="H201" s="40">
        <f t="shared" ref="H201" si="100">G201*1.2293</f>
        <v>38.563141000000002</v>
      </c>
      <c r="I201" s="65">
        <f>10+2</f>
        <v>12</v>
      </c>
      <c r="J201" s="42">
        <f t="shared" ref="J201" si="101">H201*I201</f>
        <v>462.75769200000002</v>
      </c>
    </row>
    <row r="202" spans="1:10" ht="30">
      <c r="A202" s="31" t="s">
        <v>362</v>
      </c>
      <c r="B202" s="32" t="s">
        <v>363</v>
      </c>
      <c r="C202" s="31"/>
      <c r="D202" s="43"/>
      <c r="E202" s="44"/>
      <c r="F202" s="44"/>
      <c r="G202" s="44"/>
      <c r="H202" s="44"/>
      <c r="I202" s="44"/>
      <c r="J202" s="44"/>
    </row>
    <row r="203" spans="1:10" ht="30">
      <c r="A203" s="36" t="s">
        <v>364</v>
      </c>
      <c r="B203" s="37"/>
      <c r="C203" s="36" t="s">
        <v>365</v>
      </c>
      <c r="D203" s="38" t="s">
        <v>7</v>
      </c>
      <c r="E203" s="39">
        <v>3.62</v>
      </c>
      <c r="F203" s="39">
        <v>2.64</v>
      </c>
      <c r="G203" s="39">
        <v>6.26</v>
      </c>
      <c r="H203" s="40">
        <f t="shared" ref="H203" si="102">G203*1.2293</f>
        <v>7.6954180000000001</v>
      </c>
      <c r="I203" s="65">
        <f>I201</f>
        <v>12</v>
      </c>
      <c r="J203" s="42">
        <f t="shared" ref="J203" si="103">H203*I203</f>
        <v>92.345016000000001</v>
      </c>
    </row>
    <row r="204" spans="1:10" ht="30">
      <c r="A204" s="31" t="s">
        <v>366</v>
      </c>
      <c r="B204" s="32" t="s">
        <v>367</v>
      </c>
      <c r="C204" s="31"/>
      <c r="D204" s="43"/>
      <c r="E204" s="44"/>
      <c r="F204" s="44"/>
      <c r="G204" s="44"/>
      <c r="H204" s="44"/>
      <c r="I204" s="44"/>
      <c r="J204" s="44"/>
    </row>
    <row r="205" spans="1:10" ht="30">
      <c r="A205" s="36" t="s">
        <v>368</v>
      </c>
      <c r="B205" s="37"/>
      <c r="C205" s="36" t="s">
        <v>369</v>
      </c>
      <c r="D205" s="38" t="s">
        <v>7</v>
      </c>
      <c r="E205" s="39">
        <v>308.83</v>
      </c>
      <c r="F205" s="39">
        <v>17.21</v>
      </c>
      <c r="G205" s="39">
        <v>326.04000000000002</v>
      </c>
      <c r="H205" s="40">
        <f t="shared" ref="H205" si="104">G205*1.2293</f>
        <v>400.80097200000006</v>
      </c>
      <c r="I205" s="65">
        <v>4</v>
      </c>
      <c r="J205" s="42">
        <f t="shared" ref="J205" si="105">H205*I205</f>
        <v>1603.2038880000002</v>
      </c>
    </row>
    <row r="206" spans="1:10" ht="15.75">
      <c r="A206" s="36"/>
      <c r="B206" s="37"/>
      <c r="C206" s="36"/>
      <c r="D206" s="38"/>
      <c r="E206" s="39"/>
      <c r="F206" s="39"/>
      <c r="G206" s="39"/>
      <c r="H206" s="40"/>
      <c r="I206" s="46" t="s">
        <v>30</v>
      </c>
      <c r="J206" s="47">
        <f>SUM(J201:J205)</f>
        <v>2158.3065960000004</v>
      </c>
    </row>
    <row r="207" spans="1:10">
      <c r="A207" s="89" t="s">
        <v>370</v>
      </c>
      <c r="B207" s="89" t="s">
        <v>371</v>
      </c>
      <c r="C207" s="90"/>
      <c r="D207" s="91"/>
      <c r="E207" s="92"/>
      <c r="F207" s="92"/>
      <c r="G207" s="92"/>
      <c r="H207" s="51"/>
      <c r="I207" s="51"/>
      <c r="J207" s="51"/>
    </row>
    <row r="208" spans="1:10">
      <c r="A208" s="31" t="s">
        <v>372</v>
      </c>
      <c r="B208" s="32" t="s">
        <v>373</v>
      </c>
      <c r="C208" s="31"/>
      <c r="D208" s="43"/>
      <c r="E208" s="44"/>
      <c r="F208" s="44"/>
      <c r="G208" s="44"/>
      <c r="H208" s="55"/>
      <c r="I208" s="55"/>
      <c r="J208" s="55"/>
    </row>
    <row r="209" spans="1:10" ht="15.75">
      <c r="A209" s="36" t="s">
        <v>374</v>
      </c>
      <c r="B209" s="37"/>
      <c r="C209" s="36" t="s">
        <v>375</v>
      </c>
      <c r="D209" s="38" t="s">
        <v>7</v>
      </c>
      <c r="E209" s="39">
        <v>13.21</v>
      </c>
      <c r="F209" s="39">
        <v>3.32</v>
      </c>
      <c r="G209" s="39">
        <v>16.53</v>
      </c>
      <c r="H209" s="40">
        <f t="shared" ref="H209:H210" si="106">G209*1.2293</f>
        <v>20.320329000000001</v>
      </c>
      <c r="I209" s="65">
        <v>3</v>
      </c>
      <c r="J209" s="42">
        <f t="shared" ref="J209:J210" si="107">H209*I209</f>
        <v>60.960987000000003</v>
      </c>
    </row>
    <row r="210" spans="1:10" ht="30">
      <c r="A210" s="36" t="s">
        <v>376</v>
      </c>
      <c r="B210" s="37"/>
      <c r="C210" s="36" t="s">
        <v>377</v>
      </c>
      <c r="D210" s="38" t="s">
        <v>7</v>
      </c>
      <c r="E210" s="39">
        <v>16.28</v>
      </c>
      <c r="F210" s="39">
        <v>3.32</v>
      </c>
      <c r="G210" s="39">
        <v>19.600000000000001</v>
      </c>
      <c r="H210" s="40">
        <f t="shared" si="106"/>
        <v>24.094280000000001</v>
      </c>
      <c r="I210" s="65">
        <v>3</v>
      </c>
      <c r="J210" s="42">
        <f t="shared" si="107"/>
        <v>72.282840000000007</v>
      </c>
    </row>
    <row r="211" spans="1:10" ht="15.75" customHeight="1">
      <c r="A211" s="36" t="s">
        <v>537</v>
      </c>
      <c r="B211" s="37"/>
      <c r="C211" s="36" t="s">
        <v>538</v>
      </c>
      <c r="D211" s="38" t="s">
        <v>7</v>
      </c>
      <c r="E211" s="39">
        <v>2.14</v>
      </c>
      <c r="F211" s="39">
        <v>6.64</v>
      </c>
      <c r="G211" s="39">
        <v>8.7799999999999994</v>
      </c>
      <c r="H211" s="40">
        <f t="shared" ref="H211" si="108">G211*1.2293</f>
        <v>10.793253999999999</v>
      </c>
      <c r="I211" s="65">
        <v>1</v>
      </c>
      <c r="J211" s="42">
        <f t="shared" ref="J211" si="109">H211*I211</f>
        <v>10.793253999999999</v>
      </c>
    </row>
    <row r="212" spans="1:10" ht="15.75">
      <c r="A212" s="36" t="s">
        <v>378</v>
      </c>
      <c r="B212" s="37"/>
      <c r="C212" s="36" t="s">
        <v>379</v>
      </c>
      <c r="D212" s="38" t="s">
        <v>7</v>
      </c>
      <c r="E212" s="39">
        <v>113.11</v>
      </c>
      <c r="F212" s="39">
        <v>16.600000000000001</v>
      </c>
      <c r="G212" s="39">
        <v>129.71</v>
      </c>
      <c r="H212" s="40">
        <f t="shared" ref="H212:H213" si="110">G212*1.2293</f>
        <v>159.45250300000001</v>
      </c>
      <c r="I212" s="65">
        <v>3</v>
      </c>
      <c r="J212" s="42">
        <f t="shared" ref="J212:J213" si="111">H212*I212</f>
        <v>478.35750900000005</v>
      </c>
    </row>
    <row r="213" spans="1:10" ht="30">
      <c r="A213" s="36" t="s">
        <v>535</v>
      </c>
      <c r="B213" s="37"/>
      <c r="C213" s="36" t="s">
        <v>536</v>
      </c>
      <c r="D213" s="38" t="s">
        <v>7</v>
      </c>
      <c r="E213" s="39">
        <v>15.51</v>
      </c>
      <c r="F213" s="39">
        <v>8.3000000000000007</v>
      </c>
      <c r="G213" s="39">
        <v>23.81</v>
      </c>
      <c r="H213" s="40">
        <f t="shared" si="110"/>
        <v>29.269632999999999</v>
      </c>
      <c r="I213" s="65">
        <v>1</v>
      </c>
      <c r="J213" s="42">
        <f t="shared" si="111"/>
        <v>29.269632999999999</v>
      </c>
    </row>
    <row r="214" spans="1:10" ht="15.75">
      <c r="A214" s="36"/>
      <c r="B214" s="37"/>
      <c r="C214" s="36"/>
      <c r="D214" s="38"/>
      <c r="E214" s="39"/>
      <c r="F214" s="39"/>
      <c r="G214" s="39"/>
      <c r="H214" s="40"/>
      <c r="I214" s="46" t="s">
        <v>30</v>
      </c>
      <c r="J214" s="47">
        <f>SUM(J209:J213)</f>
        <v>651.66422300000011</v>
      </c>
    </row>
    <row r="215" spans="1:10">
      <c r="A215" s="48" t="s">
        <v>380</v>
      </c>
      <c r="B215" s="48" t="s">
        <v>381</v>
      </c>
      <c r="C215" s="49"/>
      <c r="D215" s="50"/>
      <c r="E215" s="51"/>
      <c r="F215" s="51"/>
      <c r="G215" s="51"/>
      <c r="H215" s="51"/>
      <c r="I215" s="51"/>
      <c r="J215" s="51"/>
    </row>
    <row r="216" spans="1:10">
      <c r="A216" s="52" t="s">
        <v>382</v>
      </c>
      <c r="B216" s="52" t="s">
        <v>383</v>
      </c>
      <c r="C216" s="53"/>
      <c r="D216" s="54"/>
      <c r="E216" s="55"/>
      <c r="F216" s="55"/>
      <c r="G216" s="55"/>
      <c r="H216" s="55"/>
      <c r="I216" s="55"/>
      <c r="J216" s="55"/>
    </row>
    <row r="217" spans="1:10" ht="30">
      <c r="A217" s="36" t="s">
        <v>384</v>
      </c>
      <c r="B217" s="37"/>
      <c r="C217" s="36" t="s">
        <v>385</v>
      </c>
      <c r="D217" s="38" t="s">
        <v>7</v>
      </c>
      <c r="E217" s="39">
        <v>870.47</v>
      </c>
      <c r="F217" s="39">
        <v>46.68</v>
      </c>
      <c r="G217" s="39">
        <v>917.15</v>
      </c>
      <c r="H217" s="40">
        <f t="shared" ref="H217" si="112">G217*1.2293</f>
        <v>1127.452495</v>
      </c>
      <c r="I217" s="65">
        <v>1</v>
      </c>
      <c r="J217" s="42">
        <f t="shared" ref="J217" si="113">H217*I217</f>
        <v>1127.452495</v>
      </c>
    </row>
    <row r="218" spans="1:10" ht="30">
      <c r="A218" s="31" t="s">
        <v>386</v>
      </c>
      <c r="B218" s="32" t="s">
        <v>387</v>
      </c>
      <c r="C218" s="31"/>
      <c r="D218" s="43"/>
      <c r="E218" s="44"/>
      <c r="F218" s="44"/>
      <c r="G218" s="44"/>
      <c r="H218" s="44"/>
      <c r="I218" s="44"/>
      <c r="J218" s="44"/>
    </row>
    <row r="219" spans="1:10" ht="15.75">
      <c r="A219" s="36" t="s">
        <v>388</v>
      </c>
      <c r="B219" s="37"/>
      <c r="C219" s="36" t="s">
        <v>389</v>
      </c>
      <c r="D219" s="38" t="s">
        <v>7</v>
      </c>
      <c r="E219" s="39">
        <v>59.85</v>
      </c>
      <c r="F219" s="39">
        <v>26.45</v>
      </c>
      <c r="G219" s="39">
        <v>86.3</v>
      </c>
      <c r="H219" s="40">
        <f t="shared" ref="H219" si="114">G219*1.2293</f>
        <v>106.08859</v>
      </c>
      <c r="I219" s="65">
        <v>4</v>
      </c>
      <c r="J219" s="42">
        <f t="shared" ref="J219" si="115">H219*I219</f>
        <v>424.35435999999999</v>
      </c>
    </row>
    <row r="220" spans="1:10">
      <c r="A220" s="31" t="s">
        <v>390</v>
      </c>
      <c r="B220" s="32" t="s">
        <v>391</v>
      </c>
      <c r="C220" s="31"/>
      <c r="D220" s="43"/>
      <c r="E220" s="44"/>
      <c r="F220" s="44"/>
      <c r="G220" s="44"/>
      <c r="H220" s="44"/>
      <c r="I220" s="44"/>
      <c r="J220" s="44"/>
    </row>
    <row r="221" spans="1:10" ht="17.25" customHeight="1">
      <c r="A221" s="93" t="s">
        <v>392</v>
      </c>
      <c r="B221" s="94"/>
      <c r="C221" s="93" t="s">
        <v>393</v>
      </c>
      <c r="D221" s="95" t="s">
        <v>7</v>
      </c>
      <c r="E221" s="96">
        <v>268.33999999999997</v>
      </c>
      <c r="F221" s="96">
        <v>33.18</v>
      </c>
      <c r="G221" s="96">
        <v>301.52</v>
      </c>
      <c r="H221" s="97">
        <f t="shared" ref="H221:H223" si="116">G221*1.2293</f>
        <v>370.65853599999997</v>
      </c>
      <c r="I221" s="98">
        <v>2</v>
      </c>
      <c r="J221" s="99">
        <f t="shared" ref="J221:J223" si="117">H221*I221</f>
        <v>741.31707199999994</v>
      </c>
    </row>
    <row r="222" spans="1:10">
      <c r="A222" s="31"/>
      <c r="B222" s="32" t="s">
        <v>558</v>
      </c>
      <c r="C222" s="31"/>
      <c r="D222" s="43"/>
      <c r="E222" s="44"/>
      <c r="F222" s="44"/>
      <c r="G222" s="44"/>
      <c r="H222" s="44"/>
      <c r="I222" s="44"/>
      <c r="J222" s="44"/>
    </row>
    <row r="223" spans="1:10" ht="15.75">
      <c r="A223" s="36" t="s">
        <v>547</v>
      </c>
      <c r="B223" s="37"/>
      <c r="C223" s="36" t="s">
        <v>559</v>
      </c>
      <c r="D223" s="38" t="s">
        <v>7</v>
      </c>
      <c r="E223" s="96">
        <v>250</v>
      </c>
      <c r="F223" s="96">
        <v>50</v>
      </c>
      <c r="G223" s="39">
        <f>E223+F223</f>
        <v>300</v>
      </c>
      <c r="H223" s="40">
        <f t="shared" si="116"/>
        <v>368.79</v>
      </c>
      <c r="I223" s="65">
        <v>12</v>
      </c>
      <c r="J223" s="42">
        <f t="shared" si="117"/>
        <v>4425.4800000000005</v>
      </c>
    </row>
    <row r="224" spans="1:10" ht="15.75">
      <c r="A224" s="36"/>
      <c r="B224" s="37"/>
      <c r="C224" s="36"/>
      <c r="D224" s="38"/>
      <c r="E224" s="39"/>
      <c r="F224" s="39"/>
      <c r="G224" s="39"/>
      <c r="H224" s="40"/>
      <c r="I224" s="46" t="s">
        <v>30</v>
      </c>
      <c r="J224" s="47">
        <f>SUM(J217:J223)</f>
        <v>6718.6039270000001</v>
      </c>
    </row>
    <row r="225" spans="1:10">
      <c r="A225" s="48" t="s">
        <v>394</v>
      </c>
      <c r="B225" s="48" t="s">
        <v>395</v>
      </c>
      <c r="C225" s="49"/>
      <c r="D225" s="50"/>
      <c r="E225" s="51"/>
      <c r="F225" s="51"/>
      <c r="G225" s="51"/>
      <c r="H225" s="51"/>
      <c r="I225" s="51"/>
      <c r="J225" s="51"/>
    </row>
    <row r="226" spans="1:10">
      <c r="A226" s="52" t="s">
        <v>396</v>
      </c>
      <c r="B226" s="52" t="s">
        <v>397</v>
      </c>
      <c r="C226" s="53"/>
      <c r="D226" s="54"/>
      <c r="E226" s="55"/>
      <c r="F226" s="55"/>
      <c r="G226" s="55"/>
      <c r="H226" s="55"/>
      <c r="I226" s="55"/>
      <c r="J226" s="55"/>
    </row>
    <row r="227" spans="1:10" ht="15.75">
      <c r="A227" s="36" t="s">
        <v>398</v>
      </c>
      <c r="B227" s="37"/>
      <c r="C227" s="36" t="s">
        <v>399</v>
      </c>
      <c r="D227" s="38" t="s">
        <v>7</v>
      </c>
      <c r="E227" s="39">
        <v>149.54</v>
      </c>
      <c r="F227" s="39">
        <v>39.93</v>
      </c>
      <c r="G227" s="39">
        <v>189.47</v>
      </c>
      <c r="H227" s="40">
        <f t="shared" ref="H227" si="118">G227*1.2293</f>
        <v>232.915471</v>
      </c>
      <c r="I227" s="65">
        <v>6</v>
      </c>
      <c r="J227" s="42">
        <f t="shared" ref="J227" si="119">H227*I227</f>
        <v>1397.4928259999999</v>
      </c>
    </row>
    <row r="228" spans="1:10" ht="15.75">
      <c r="A228" s="36" t="s">
        <v>400</v>
      </c>
      <c r="B228" s="37"/>
      <c r="C228" s="36" t="s">
        <v>401</v>
      </c>
      <c r="D228" s="38" t="s">
        <v>7</v>
      </c>
      <c r="E228" s="39">
        <v>58.35</v>
      </c>
      <c r="F228" s="39">
        <v>46.68</v>
      </c>
      <c r="G228" s="39">
        <v>105.03</v>
      </c>
      <c r="H228" s="40">
        <f t="shared" ref="H228:H250" si="120">G228*1.2293</f>
        <v>129.11337900000001</v>
      </c>
      <c r="I228" s="65">
        <v>2</v>
      </c>
      <c r="J228" s="42">
        <f t="shared" ref="J228:J250" si="121">H228*I228</f>
        <v>258.22675800000002</v>
      </c>
    </row>
    <row r="229" spans="1:10" ht="15.75">
      <c r="A229" s="36" t="s">
        <v>402</v>
      </c>
      <c r="B229" s="37"/>
      <c r="C229" s="36" t="s">
        <v>403</v>
      </c>
      <c r="D229" s="38" t="s">
        <v>7</v>
      </c>
      <c r="E229" s="39">
        <v>372.22</v>
      </c>
      <c r="F229" s="39">
        <v>46.68</v>
      </c>
      <c r="G229" s="39">
        <v>418.9</v>
      </c>
      <c r="H229" s="40">
        <f t="shared" si="120"/>
        <v>514.95376999999996</v>
      </c>
      <c r="I229" s="65">
        <v>2</v>
      </c>
      <c r="J229" s="42">
        <f t="shared" si="121"/>
        <v>1029.9075399999999</v>
      </c>
    </row>
    <row r="230" spans="1:10" ht="15.75">
      <c r="A230" s="36" t="s">
        <v>404</v>
      </c>
      <c r="B230" s="37"/>
      <c r="C230" s="36" t="s">
        <v>405</v>
      </c>
      <c r="D230" s="38" t="s">
        <v>7</v>
      </c>
      <c r="E230" s="39">
        <v>71.56</v>
      </c>
      <c r="F230" s="39">
        <v>16.600000000000001</v>
      </c>
      <c r="G230" s="39">
        <v>88.16</v>
      </c>
      <c r="H230" s="40">
        <f t="shared" si="120"/>
        <v>108.37508800000001</v>
      </c>
      <c r="I230" s="65">
        <v>2</v>
      </c>
      <c r="J230" s="42">
        <f t="shared" si="121"/>
        <v>216.75017600000001</v>
      </c>
    </row>
    <row r="231" spans="1:10" ht="15.75">
      <c r="A231" s="36" t="s">
        <v>406</v>
      </c>
      <c r="B231" s="37"/>
      <c r="C231" s="36" t="s">
        <v>407</v>
      </c>
      <c r="D231" s="38" t="s">
        <v>7</v>
      </c>
      <c r="E231" s="39">
        <v>415.24</v>
      </c>
      <c r="F231" s="39">
        <v>99.54</v>
      </c>
      <c r="G231" s="39">
        <v>514.78</v>
      </c>
      <c r="H231" s="40">
        <f t="shared" si="120"/>
        <v>632.81905400000005</v>
      </c>
      <c r="I231" s="65">
        <v>1</v>
      </c>
      <c r="J231" s="42">
        <f t="shared" si="121"/>
        <v>632.81905400000005</v>
      </c>
    </row>
    <row r="232" spans="1:10" ht="30">
      <c r="A232" s="31" t="s">
        <v>408</v>
      </c>
      <c r="B232" s="32" t="s">
        <v>409</v>
      </c>
      <c r="C232" s="31"/>
      <c r="D232" s="43"/>
      <c r="E232" s="44"/>
      <c r="F232" s="44"/>
      <c r="G232" s="44"/>
      <c r="H232" s="44"/>
      <c r="I232" s="44"/>
      <c r="J232" s="44"/>
    </row>
    <row r="233" spans="1:10" ht="30">
      <c r="A233" s="36" t="s">
        <v>410</v>
      </c>
      <c r="B233" s="37"/>
      <c r="C233" s="36" t="s">
        <v>411</v>
      </c>
      <c r="D233" s="38" t="s">
        <v>0</v>
      </c>
      <c r="E233" s="39">
        <v>865.18</v>
      </c>
      <c r="F233" s="39">
        <v>59.84</v>
      </c>
      <c r="G233" s="39">
        <v>925.02</v>
      </c>
      <c r="H233" s="40">
        <f t="shared" si="120"/>
        <v>1137.127086</v>
      </c>
      <c r="I233" s="65">
        <f>2*0.8*0.55+0.8*2*0.1</f>
        <v>1.04</v>
      </c>
      <c r="J233" s="42">
        <f t="shared" si="121"/>
        <v>1182.6121694399999</v>
      </c>
    </row>
    <row r="234" spans="1:10" ht="30">
      <c r="A234" s="31" t="s">
        <v>412</v>
      </c>
      <c r="B234" s="32" t="s">
        <v>413</v>
      </c>
      <c r="C234" s="31"/>
      <c r="D234" s="43"/>
      <c r="E234" s="44"/>
      <c r="F234" s="44"/>
      <c r="G234" s="44"/>
      <c r="H234" s="44"/>
      <c r="I234" s="44"/>
      <c r="J234" s="44"/>
    </row>
    <row r="235" spans="1:10" ht="15.75">
      <c r="A235" s="36" t="s">
        <v>414</v>
      </c>
      <c r="B235" s="37"/>
      <c r="C235" s="36" t="s">
        <v>415</v>
      </c>
      <c r="D235" s="38" t="s">
        <v>7</v>
      </c>
      <c r="E235" s="39">
        <v>28.36</v>
      </c>
      <c r="F235" s="39">
        <v>9.8699999999999992</v>
      </c>
      <c r="G235" s="39">
        <v>38.229999999999997</v>
      </c>
      <c r="H235" s="40">
        <f t="shared" si="120"/>
        <v>46.996138999999999</v>
      </c>
      <c r="I235" s="65">
        <v>4</v>
      </c>
      <c r="J235" s="42">
        <f t="shared" si="121"/>
        <v>187.984556</v>
      </c>
    </row>
    <row r="236" spans="1:10" ht="15.75">
      <c r="A236" s="36" t="s">
        <v>416</v>
      </c>
      <c r="B236" s="37"/>
      <c r="C236" s="36" t="s">
        <v>417</v>
      </c>
      <c r="D236" s="38" t="s">
        <v>7</v>
      </c>
      <c r="E236" s="39">
        <v>29.04</v>
      </c>
      <c r="F236" s="39">
        <v>9.8699999999999992</v>
      </c>
      <c r="G236" s="39">
        <v>38.909999999999997</v>
      </c>
      <c r="H236" s="40">
        <f t="shared" si="120"/>
        <v>47.832062999999998</v>
      </c>
      <c r="I236" s="65">
        <v>2</v>
      </c>
      <c r="J236" s="42">
        <f t="shared" si="121"/>
        <v>95.664125999999996</v>
      </c>
    </row>
    <row r="237" spans="1:10" ht="15.75">
      <c r="A237" s="36" t="s">
        <v>418</v>
      </c>
      <c r="B237" s="37"/>
      <c r="C237" s="36" t="s">
        <v>419</v>
      </c>
      <c r="D237" s="38" t="s">
        <v>7</v>
      </c>
      <c r="E237" s="39">
        <v>35.86</v>
      </c>
      <c r="F237" s="39">
        <v>4.0999999999999996</v>
      </c>
      <c r="G237" s="39">
        <v>39.96</v>
      </c>
      <c r="H237" s="40">
        <f t="shared" si="120"/>
        <v>49.122828000000005</v>
      </c>
      <c r="I237" s="65">
        <v>4</v>
      </c>
      <c r="J237" s="42">
        <f t="shared" si="121"/>
        <v>196.49131200000002</v>
      </c>
    </row>
    <row r="238" spans="1:10" ht="15.75">
      <c r="A238" s="36" t="s">
        <v>420</v>
      </c>
      <c r="B238" s="37"/>
      <c r="C238" s="36" t="s">
        <v>421</v>
      </c>
      <c r="D238" s="38" t="s">
        <v>7</v>
      </c>
      <c r="E238" s="39">
        <v>296.3</v>
      </c>
      <c r="F238" s="39">
        <v>16.600000000000001</v>
      </c>
      <c r="G238" s="39">
        <v>312.89999999999998</v>
      </c>
      <c r="H238" s="40">
        <f t="shared" si="120"/>
        <v>384.64796999999999</v>
      </c>
      <c r="I238" s="65">
        <v>4</v>
      </c>
      <c r="J238" s="42">
        <f t="shared" si="121"/>
        <v>1538.5918799999999</v>
      </c>
    </row>
    <row r="239" spans="1:10" ht="30">
      <c r="A239" s="36" t="s">
        <v>422</v>
      </c>
      <c r="B239" s="37"/>
      <c r="C239" s="36" t="s">
        <v>423</v>
      </c>
      <c r="D239" s="38" t="s">
        <v>7</v>
      </c>
      <c r="E239" s="39">
        <v>39.06</v>
      </c>
      <c r="F239" s="39">
        <v>11.67</v>
      </c>
      <c r="G239" s="39">
        <v>50.73</v>
      </c>
      <c r="H239" s="40">
        <f t="shared" si="120"/>
        <v>62.362389</v>
      </c>
      <c r="I239" s="65">
        <v>5</v>
      </c>
      <c r="J239" s="42">
        <f t="shared" si="121"/>
        <v>311.81194499999998</v>
      </c>
    </row>
    <row r="240" spans="1:10" ht="15" customHeight="1">
      <c r="A240" s="36" t="s">
        <v>424</v>
      </c>
      <c r="B240" s="37"/>
      <c r="C240" s="36" t="s">
        <v>425</v>
      </c>
      <c r="D240" s="38" t="s">
        <v>198</v>
      </c>
      <c r="E240" s="39">
        <v>569.33000000000004</v>
      </c>
      <c r="F240" s="39">
        <v>46.52</v>
      </c>
      <c r="G240" s="39">
        <v>615.85</v>
      </c>
      <c r="H240" s="40">
        <f t="shared" si="120"/>
        <v>757.06440500000008</v>
      </c>
      <c r="I240" s="65">
        <v>2</v>
      </c>
      <c r="J240" s="42">
        <f t="shared" si="121"/>
        <v>1514.1288100000002</v>
      </c>
    </row>
    <row r="241" spans="1:10" ht="15" customHeight="1">
      <c r="A241" s="31" t="s">
        <v>554</v>
      </c>
      <c r="B241" s="32" t="s">
        <v>555</v>
      </c>
      <c r="C241" s="31"/>
      <c r="D241" s="43"/>
      <c r="E241" s="44"/>
      <c r="F241" s="44"/>
      <c r="G241" s="44"/>
      <c r="H241" s="44"/>
      <c r="I241" s="44"/>
      <c r="J241" s="44"/>
    </row>
    <row r="242" spans="1:10" ht="15" customHeight="1">
      <c r="A242" s="36" t="s">
        <v>556</v>
      </c>
      <c r="B242" s="37"/>
      <c r="C242" s="36" t="s">
        <v>557</v>
      </c>
      <c r="D242" s="38" t="s">
        <v>0</v>
      </c>
      <c r="E242" s="39">
        <v>145.80000000000001</v>
      </c>
      <c r="F242" s="39">
        <v>59.84</v>
      </c>
      <c r="G242" s="39">
        <v>205.64</v>
      </c>
      <c r="H242" s="40">
        <f t="shared" ref="H242" si="122">G242*1.2293</f>
        <v>252.793252</v>
      </c>
      <c r="I242" s="65">
        <f>2.55*0.35*3</f>
        <v>2.6774999999999993</v>
      </c>
      <c r="J242" s="42">
        <f t="shared" ref="J242" si="123">H242*I242</f>
        <v>676.85393222999983</v>
      </c>
    </row>
    <row r="243" spans="1:10" ht="30">
      <c r="A243" s="31" t="s">
        <v>426</v>
      </c>
      <c r="B243" s="32" t="s">
        <v>427</v>
      </c>
      <c r="C243" s="31"/>
      <c r="D243" s="43"/>
      <c r="E243" s="44"/>
      <c r="F243" s="44"/>
      <c r="G243" s="44"/>
      <c r="H243" s="44"/>
      <c r="I243" s="44"/>
      <c r="J243" s="44"/>
    </row>
    <row r="244" spans="1:10" ht="15.75">
      <c r="A244" s="36" t="s">
        <v>428</v>
      </c>
      <c r="B244" s="37"/>
      <c r="C244" s="36" t="s">
        <v>429</v>
      </c>
      <c r="D244" s="38" t="s">
        <v>7</v>
      </c>
      <c r="E244" s="39">
        <v>8.48</v>
      </c>
      <c r="F244" s="39">
        <v>13.27</v>
      </c>
      <c r="G244" s="39">
        <v>21.75</v>
      </c>
      <c r="H244" s="40">
        <f t="shared" si="120"/>
        <v>26.737275</v>
      </c>
      <c r="I244" s="65">
        <v>3</v>
      </c>
      <c r="J244" s="42">
        <f t="shared" si="121"/>
        <v>80.211825000000005</v>
      </c>
    </row>
    <row r="245" spans="1:10" ht="15.75">
      <c r="A245" s="36" t="s">
        <v>430</v>
      </c>
      <c r="B245" s="37"/>
      <c r="C245" s="36" t="s">
        <v>431</v>
      </c>
      <c r="D245" s="38" t="s">
        <v>7</v>
      </c>
      <c r="E245" s="39">
        <v>0.05</v>
      </c>
      <c r="F245" s="39">
        <v>16.600000000000001</v>
      </c>
      <c r="G245" s="39">
        <v>16.649999999999999</v>
      </c>
      <c r="H245" s="40">
        <f t="shared" si="120"/>
        <v>20.467845000000001</v>
      </c>
      <c r="I245" s="65">
        <v>2</v>
      </c>
      <c r="J245" s="42">
        <f t="shared" si="121"/>
        <v>40.935690000000001</v>
      </c>
    </row>
    <row r="246" spans="1:10" ht="15.75">
      <c r="A246" s="36" t="s">
        <v>432</v>
      </c>
      <c r="B246" s="37"/>
      <c r="C246" s="36" t="s">
        <v>433</v>
      </c>
      <c r="D246" s="38" t="s">
        <v>7</v>
      </c>
      <c r="E246" s="39">
        <v>0.05</v>
      </c>
      <c r="F246" s="39">
        <v>16.600000000000001</v>
      </c>
      <c r="G246" s="39">
        <v>16.649999999999999</v>
      </c>
      <c r="H246" s="40">
        <f t="shared" si="120"/>
        <v>20.467845000000001</v>
      </c>
      <c r="I246" s="65">
        <v>2</v>
      </c>
      <c r="J246" s="42">
        <f t="shared" si="121"/>
        <v>40.935690000000001</v>
      </c>
    </row>
    <row r="247" spans="1:10" ht="15.75" customHeight="1">
      <c r="A247" s="36" t="s">
        <v>434</v>
      </c>
      <c r="B247" s="37"/>
      <c r="C247" s="36" t="s">
        <v>435</v>
      </c>
      <c r="D247" s="38" t="s">
        <v>7</v>
      </c>
      <c r="E247" s="39">
        <v>0.59</v>
      </c>
      <c r="F247" s="39">
        <v>46.68</v>
      </c>
      <c r="G247" s="39">
        <v>47.27</v>
      </c>
      <c r="H247" s="40">
        <f t="shared" si="120"/>
        <v>58.10901100000001</v>
      </c>
      <c r="I247" s="65">
        <v>4</v>
      </c>
      <c r="J247" s="42">
        <f t="shared" si="121"/>
        <v>232.43604400000004</v>
      </c>
    </row>
    <row r="248" spans="1:10" ht="15.75">
      <c r="A248" s="36" t="s">
        <v>436</v>
      </c>
      <c r="B248" s="37"/>
      <c r="C248" s="36" t="s">
        <v>437</v>
      </c>
      <c r="D248" s="38" t="s">
        <v>7</v>
      </c>
      <c r="E248" s="39">
        <v>86.61</v>
      </c>
      <c r="F248" s="39">
        <v>2.2999999999999998</v>
      </c>
      <c r="G248" s="39">
        <v>88.91</v>
      </c>
      <c r="H248" s="40">
        <f t="shared" si="120"/>
        <v>109.29706299999999</v>
      </c>
      <c r="I248" s="65">
        <v>6</v>
      </c>
      <c r="J248" s="42">
        <f t="shared" si="121"/>
        <v>655.78237799999999</v>
      </c>
    </row>
    <row r="249" spans="1:10" ht="15.75">
      <c r="A249" s="36" t="s">
        <v>438</v>
      </c>
      <c r="B249" s="37"/>
      <c r="C249" s="36" t="s">
        <v>439</v>
      </c>
      <c r="D249" s="38" t="s">
        <v>7</v>
      </c>
      <c r="E249" s="39">
        <v>25.52</v>
      </c>
      <c r="F249" s="39">
        <v>2.02</v>
      </c>
      <c r="G249" s="39">
        <v>27.54</v>
      </c>
      <c r="H249" s="40">
        <f t="shared" si="120"/>
        <v>33.854922000000002</v>
      </c>
      <c r="I249" s="65">
        <v>6</v>
      </c>
      <c r="J249" s="42">
        <f t="shared" si="121"/>
        <v>203.12953200000001</v>
      </c>
    </row>
    <row r="250" spans="1:10" ht="15.75">
      <c r="A250" s="36" t="s">
        <v>440</v>
      </c>
      <c r="B250" s="37"/>
      <c r="C250" s="36" t="s">
        <v>441</v>
      </c>
      <c r="D250" s="38" t="s">
        <v>7</v>
      </c>
      <c r="E250" s="39">
        <v>3.87</v>
      </c>
      <c r="F250" s="39">
        <v>5.65</v>
      </c>
      <c r="G250" s="39">
        <v>9.52</v>
      </c>
      <c r="H250" s="40">
        <f t="shared" si="120"/>
        <v>11.702935999999999</v>
      </c>
      <c r="I250" s="65">
        <v>6</v>
      </c>
      <c r="J250" s="42">
        <f t="shared" si="121"/>
        <v>70.217615999999992</v>
      </c>
    </row>
    <row r="251" spans="1:10" ht="15.75">
      <c r="A251" s="74"/>
      <c r="B251" s="37"/>
      <c r="C251" s="36"/>
      <c r="D251" s="38"/>
      <c r="E251" s="39"/>
      <c r="F251" s="39"/>
      <c r="G251" s="39"/>
      <c r="H251" s="40"/>
      <c r="I251" s="46" t="s">
        <v>30</v>
      </c>
      <c r="J251" s="47">
        <f>SUM(J227:J250)</f>
        <v>10562.983859670001</v>
      </c>
    </row>
    <row r="252" spans="1:10">
      <c r="A252" s="48" t="s">
        <v>442</v>
      </c>
      <c r="B252" s="48" t="s">
        <v>443</v>
      </c>
      <c r="C252" s="49"/>
      <c r="D252" s="50"/>
      <c r="E252" s="51"/>
      <c r="F252" s="51"/>
      <c r="G252" s="51"/>
      <c r="H252" s="51"/>
      <c r="I252" s="51"/>
      <c r="J252" s="51"/>
    </row>
    <row r="253" spans="1:10" ht="15.75" customHeight="1">
      <c r="A253" s="36" t="s">
        <v>444</v>
      </c>
      <c r="B253" s="37"/>
      <c r="C253" s="36" t="s">
        <v>445</v>
      </c>
      <c r="D253" s="38" t="s">
        <v>7</v>
      </c>
      <c r="E253" s="39">
        <v>3186.31</v>
      </c>
      <c r="F253" s="39">
        <v>1101.3499999999999</v>
      </c>
      <c r="G253" s="39">
        <v>4287.66</v>
      </c>
      <c r="H253" s="40">
        <f t="shared" ref="H253" si="124">G253*1.2293</f>
        <v>5270.8204379999997</v>
      </c>
      <c r="I253" s="65">
        <v>1</v>
      </c>
      <c r="J253" s="42">
        <f t="shared" ref="J253" si="125">H253*I253</f>
        <v>5270.8204379999997</v>
      </c>
    </row>
    <row r="254" spans="1:10" ht="15.75">
      <c r="A254" s="74"/>
      <c r="B254" s="37"/>
      <c r="C254" s="36"/>
      <c r="D254" s="38"/>
      <c r="E254" s="39"/>
      <c r="F254" s="39"/>
      <c r="G254" s="39"/>
      <c r="H254" s="40"/>
      <c r="I254" s="46" t="s">
        <v>30</v>
      </c>
      <c r="J254" s="47">
        <f>SUM(J253)</f>
        <v>5270.8204379999997</v>
      </c>
    </row>
    <row r="255" spans="1:10">
      <c r="A255" s="48" t="s">
        <v>446</v>
      </c>
      <c r="B255" s="48" t="s">
        <v>447</v>
      </c>
      <c r="C255" s="49"/>
      <c r="D255" s="50"/>
      <c r="E255" s="51"/>
      <c r="F255" s="51"/>
      <c r="G255" s="51"/>
      <c r="H255" s="51"/>
      <c r="I255" s="51"/>
      <c r="J255" s="51"/>
    </row>
    <row r="256" spans="1:10">
      <c r="A256" s="52" t="s">
        <v>448</v>
      </c>
      <c r="B256" s="52" t="s">
        <v>449</v>
      </c>
      <c r="C256" s="53"/>
      <c r="D256" s="54"/>
      <c r="E256" s="55"/>
      <c r="F256" s="55"/>
      <c r="G256" s="55"/>
      <c r="H256" s="55"/>
      <c r="I256" s="55"/>
      <c r="J256" s="55"/>
    </row>
    <row r="257" spans="1:10" ht="30">
      <c r="A257" s="36" t="s">
        <v>450</v>
      </c>
      <c r="B257" s="37"/>
      <c r="C257" s="36" t="s">
        <v>451</v>
      </c>
      <c r="D257" s="38" t="s">
        <v>10</v>
      </c>
      <c r="E257" s="39">
        <v>3.47</v>
      </c>
      <c r="F257" s="39">
        <v>16.600000000000001</v>
      </c>
      <c r="G257" s="39">
        <v>20.07</v>
      </c>
      <c r="H257" s="40">
        <f t="shared" ref="H257:H259" si="126">G257*1.2293</f>
        <v>24.672051000000003</v>
      </c>
      <c r="I257" s="65">
        <v>72</v>
      </c>
      <c r="J257" s="42">
        <f t="shared" ref="J257:J259" si="127">H257*I257</f>
        <v>1776.3876720000003</v>
      </c>
    </row>
    <row r="258" spans="1:10">
      <c r="A258" s="31" t="s">
        <v>452</v>
      </c>
      <c r="B258" s="32" t="s">
        <v>453</v>
      </c>
      <c r="C258" s="31"/>
      <c r="D258" s="43"/>
      <c r="E258" s="44"/>
      <c r="F258" s="44"/>
      <c r="G258" s="44"/>
      <c r="H258" s="44"/>
      <c r="I258" s="44"/>
      <c r="J258" s="44"/>
    </row>
    <row r="259" spans="1:10" ht="45">
      <c r="A259" s="36" t="s">
        <v>454</v>
      </c>
      <c r="B259" s="37"/>
      <c r="C259" s="36" t="s">
        <v>455</v>
      </c>
      <c r="D259" s="38" t="s">
        <v>10</v>
      </c>
      <c r="E259" s="39">
        <v>16.260000000000002</v>
      </c>
      <c r="F259" s="39">
        <v>29.87</v>
      </c>
      <c r="G259" s="39">
        <v>46.13</v>
      </c>
      <c r="H259" s="40">
        <f t="shared" si="126"/>
        <v>56.707609000000005</v>
      </c>
      <c r="I259" s="65">
        <v>9</v>
      </c>
      <c r="J259" s="42">
        <f t="shared" si="127"/>
        <v>510.36848100000003</v>
      </c>
    </row>
    <row r="260" spans="1:10">
      <c r="A260" s="31" t="s">
        <v>456</v>
      </c>
      <c r="B260" s="32" t="s">
        <v>457</v>
      </c>
      <c r="C260" s="31"/>
      <c r="D260" s="43"/>
      <c r="E260" s="44"/>
      <c r="F260" s="44"/>
      <c r="G260" s="44"/>
      <c r="H260" s="44"/>
      <c r="I260" s="44"/>
      <c r="J260" s="44"/>
    </row>
    <row r="261" spans="1:10" ht="30">
      <c r="A261" s="36" t="s">
        <v>458</v>
      </c>
      <c r="B261" s="37"/>
      <c r="C261" s="36" t="s">
        <v>459</v>
      </c>
      <c r="D261" s="38" t="s">
        <v>10</v>
      </c>
      <c r="E261" s="39">
        <v>16.07</v>
      </c>
      <c r="F261" s="39">
        <v>11.67</v>
      </c>
      <c r="G261" s="39">
        <v>27.74</v>
      </c>
      <c r="H261" s="40">
        <f t="shared" ref="H261:H267" si="128">G261*1.2293</f>
        <v>34.100782000000002</v>
      </c>
      <c r="I261" s="65">
        <v>42</v>
      </c>
      <c r="J261" s="42">
        <f t="shared" ref="J261:J267" si="129">H261*I261</f>
        <v>1432.2328440000001</v>
      </c>
    </row>
    <row r="262" spans="1:10" ht="45">
      <c r="A262" s="36" t="s">
        <v>539</v>
      </c>
      <c r="B262" s="37"/>
      <c r="C262" s="36" t="s">
        <v>540</v>
      </c>
      <c r="D262" s="38" t="s">
        <v>10</v>
      </c>
      <c r="E262" s="39">
        <v>34.479999999999997</v>
      </c>
      <c r="F262" s="39">
        <v>11.67</v>
      </c>
      <c r="G262" s="39">
        <v>46.15</v>
      </c>
      <c r="H262" s="40">
        <f t="shared" si="128"/>
        <v>56.732195000000004</v>
      </c>
      <c r="I262" s="65">
        <v>36</v>
      </c>
      <c r="J262" s="42">
        <f t="shared" si="129"/>
        <v>2042.3590200000001</v>
      </c>
    </row>
    <row r="263" spans="1:10">
      <c r="A263" s="31" t="s">
        <v>460</v>
      </c>
      <c r="B263" s="32" t="s">
        <v>461</v>
      </c>
      <c r="C263" s="31"/>
      <c r="D263" s="43"/>
      <c r="E263" s="44"/>
      <c r="F263" s="44"/>
      <c r="G263" s="44"/>
      <c r="H263" s="44"/>
      <c r="I263" s="44"/>
      <c r="J263" s="44"/>
    </row>
    <row r="264" spans="1:10" ht="60">
      <c r="A264" s="36" t="s">
        <v>462</v>
      </c>
      <c r="B264" s="37"/>
      <c r="C264" s="36" t="s">
        <v>463</v>
      </c>
      <c r="D264" s="38" t="s">
        <v>10</v>
      </c>
      <c r="E264" s="39">
        <v>33.42</v>
      </c>
      <c r="F264" s="39">
        <v>11.67</v>
      </c>
      <c r="G264" s="39">
        <v>45.09</v>
      </c>
      <c r="H264" s="40">
        <f t="shared" si="128"/>
        <v>55.429137000000004</v>
      </c>
      <c r="I264" s="65">
        <v>7</v>
      </c>
      <c r="J264" s="42">
        <f t="shared" si="129"/>
        <v>388.00395900000001</v>
      </c>
    </row>
    <row r="265" spans="1:10" ht="30">
      <c r="A265" s="36" t="s">
        <v>464</v>
      </c>
      <c r="B265" s="37"/>
      <c r="C265" s="36" t="s">
        <v>465</v>
      </c>
      <c r="D265" s="38" t="s">
        <v>7</v>
      </c>
      <c r="E265" s="39">
        <v>10.88</v>
      </c>
      <c r="F265" s="39">
        <v>11.62</v>
      </c>
      <c r="G265" s="39">
        <v>22.5</v>
      </c>
      <c r="H265" s="40">
        <f t="shared" si="128"/>
        <v>27.65925</v>
      </c>
      <c r="I265" s="65">
        <v>4</v>
      </c>
      <c r="J265" s="42">
        <f t="shared" si="129"/>
        <v>110.637</v>
      </c>
    </row>
    <row r="266" spans="1:10" ht="30">
      <c r="A266" s="36" t="s">
        <v>466</v>
      </c>
      <c r="B266" s="37"/>
      <c r="C266" s="36" t="s">
        <v>467</v>
      </c>
      <c r="D266" s="38" t="s">
        <v>7</v>
      </c>
      <c r="E266" s="39">
        <v>12.68</v>
      </c>
      <c r="F266" s="39">
        <v>11.62</v>
      </c>
      <c r="G266" s="39">
        <v>24.3</v>
      </c>
      <c r="H266" s="40">
        <f t="shared" si="128"/>
        <v>29.871990000000004</v>
      </c>
      <c r="I266" s="65">
        <v>2</v>
      </c>
      <c r="J266" s="42">
        <f t="shared" si="129"/>
        <v>59.743980000000008</v>
      </c>
    </row>
    <row r="267" spans="1:10" ht="30">
      <c r="A267" s="36" t="s">
        <v>468</v>
      </c>
      <c r="B267" s="37"/>
      <c r="C267" s="36" t="s">
        <v>469</v>
      </c>
      <c r="D267" s="38" t="s">
        <v>7</v>
      </c>
      <c r="E267" s="39">
        <v>29.41</v>
      </c>
      <c r="F267" s="39">
        <v>11.62</v>
      </c>
      <c r="G267" s="39">
        <v>41.03</v>
      </c>
      <c r="H267" s="40">
        <f t="shared" si="128"/>
        <v>50.438179000000005</v>
      </c>
      <c r="I267" s="65">
        <v>1</v>
      </c>
      <c r="J267" s="42">
        <f t="shared" si="129"/>
        <v>50.438179000000005</v>
      </c>
    </row>
    <row r="268" spans="1:10" ht="15.75">
      <c r="A268" s="74"/>
      <c r="B268" s="37"/>
      <c r="C268" s="36"/>
      <c r="D268" s="38"/>
      <c r="E268" s="39"/>
      <c r="F268" s="39"/>
      <c r="G268" s="39"/>
      <c r="H268" s="40"/>
      <c r="I268" s="46" t="s">
        <v>30</v>
      </c>
      <c r="J268" s="47">
        <f>SUM(J257:J267)</f>
        <v>6370.1711349999996</v>
      </c>
    </row>
    <row r="269" spans="1:10">
      <c r="A269" s="48" t="s">
        <v>470</v>
      </c>
      <c r="B269" s="48" t="s">
        <v>471</v>
      </c>
      <c r="C269" s="49"/>
      <c r="D269" s="50"/>
      <c r="E269" s="51"/>
      <c r="F269" s="51"/>
      <c r="G269" s="51"/>
      <c r="H269" s="51"/>
      <c r="I269" s="51"/>
      <c r="J269" s="51"/>
    </row>
    <row r="270" spans="1:10">
      <c r="A270" s="52" t="s">
        <v>472</v>
      </c>
      <c r="B270" s="52" t="s">
        <v>473</v>
      </c>
      <c r="C270" s="53"/>
      <c r="D270" s="54"/>
      <c r="E270" s="55"/>
      <c r="F270" s="55"/>
      <c r="G270" s="55"/>
      <c r="H270" s="55"/>
      <c r="I270" s="55"/>
      <c r="J270" s="55"/>
    </row>
    <row r="271" spans="1:10" ht="30">
      <c r="A271" s="36" t="s">
        <v>474</v>
      </c>
      <c r="B271" s="37"/>
      <c r="C271" s="36" t="s">
        <v>475</v>
      </c>
      <c r="D271" s="38" t="s">
        <v>7</v>
      </c>
      <c r="E271" s="39">
        <v>33.229999999999997</v>
      </c>
      <c r="F271" s="39">
        <v>19.91</v>
      </c>
      <c r="G271" s="39">
        <v>53.14</v>
      </c>
      <c r="H271" s="40">
        <f t="shared" ref="H271" si="130">G271*1.2293</f>
        <v>65.325001999999998</v>
      </c>
      <c r="I271" s="65">
        <v>3</v>
      </c>
      <c r="J271" s="42">
        <f t="shared" ref="J271" si="131">H271*I271</f>
        <v>195.97500600000001</v>
      </c>
    </row>
    <row r="272" spans="1:10" ht="29.25" customHeight="1">
      <c r="A272" s="36" t="s">
        <v>476</v>
      </c>
      <c r="B272" s="37"/>
      <c r="C272" s="36" t="s">
        <v>477</v>
      </c>
      <c r="D272" s="38" t="s">
        <v>7</v>
      </c>
      <c r="E272" s="39">
        <v>31.02</v>
      </c>
      <c r="F272" s="39">
        <v>14.93</v>
      </c>
      <c r="G272" s="39">
        <v>45.95</v>
      </c>
      <c r="H272" s="40">
        <f t="shared" ref="H272:H275" si="132">G272*1.2293</f>
        <v>56.486335000000004</v>
      </c>
      <c r="I272" s="65">
        <v>1</v>
      </c>
      <c r="J272" s="42">
        <f t="shared" ref="J272:J275" si="133">H272*I272</f>
        <v>56.486335000000004</v>
      </c>
    </row>
    <row r="273" spans="1:12" ht="30">
      <c r="A273" s="31" t="s">
        <v>478</v>
      </c>
      <c r="B273" s="32" t="s">
        <v>479</v>
      </c>
      <c r="C273" s="31"/>
      <c r="D273" s="43"/>
      <c r="E273" s="44"/>
      <c r="F273" s="44"/>
      <c r="G273" s="44"/>
      <c r="H273" s="44"/>
      <c r="I273" s="44"/>
      <c r="J273" s="44"/>
    </row>
    <row r="274" spans="1:12" ht="30">
      <c r="A274" s="36" t="s">
        <v>480</v>
      </c>
      <c r="B274" s="37"/>
      <c r="C274" s="36" t="s">
        <v>481</v>
      </c>
      <c r="D274" s="38" t="s">
        <v>7</v>
      </c>
      <c r="E274" s="39">
        <v>221.4</v>
      </c>
      <c r="F274" s="39">
        <v>49.78</v>
      </c>
      <c r="G274" s="39">
        <v>271.18</v>
      </c>
      <c r="H274" s="40">
        <f t="shared" si="132"/>
        <v>333.36157400000002</v>
      </c>
      <c r="I274" s="65">
        <v>2</v>
      </c>
      <c r="J274" s="42">
        <f t="shared" si="133"/>
        <v>666.72314800000004</v>
      </c>
    </row>
    <row r="275" spans="1:12" ht="15" customHeight="1">
      <c r="A275" s="36" t="s">
        <v>482</v>
      </c>
      <c r="B275" s="37"/>
      <c r="C275" s="36" t="s">
        <v>483</v>
      </c>
      <c r="D275" s="38" t="s">
        <v>7</v>
      </c>
      <c r="E275" s="39">
        <v>211.35</v>
      </c>
      <c r="F275" s="39">
        <v>19.91</v>
      </c>
      <c r="G275" s="39">
        <v>231.26</v>
      </c>
      <c r="H275" s="40">
        <f t="shared" si="132"/>
        <v>284.28791799999999</v>
      </c>
      <c r="I275" s="65">
        <v>2</v>
      </c>
      <c r="J275" s="42">
        <f t="shared" si="133"/>
        <v>568.57583599999998</v>
      </c>
    </row>
    <row r="276" spans="1:12" ht="15.75">
      <c r="A276" s="74"/>
      <c r="B276" s="37"/>
      <c r="C276" s="36"/>
      <c r="D276" s="38"/>
      <c r="E276" s="39"/>
      <c r="F276" s="39"/>
      <c r="G276" s="39"/>
      <c r="H276" s="40"/>
      <c r="I276" s="46" t="s">
        <v>30</v>
      </c>
      <c r="J276" s="47">
        <f>SUM(J271:J275)</f>
        <v>1487.760325</v>
      </c>
    </row>
    <row r="277" spans="1:12">
      <c r="A277" s="48" t="s">
        <v>484</v>
      </c>
      <c r="B277" s="48" t="s">
        <v>485</v>
      </c>
      <c r="C277" s="49"/>
      <c r="D277" s="50"/>
      <c r="E277" s="51"/>
      <c r="F277" s="51"/>
      <c r="G277" s="51"/>
      <c r="H277" s="51"/>
      <c r="I277" s="51"/>
      <c r="J277" s="51"/>
    </row>
    <row r="278" spans="1:12">
      <c r="A278" s="52" t="s">
        <v>486</v>
      </c>
      <c r="B278" s="52" t="s">
        <v>487</v>
      </c>
      <c r="C278" s="53"/>
      <c r="D278" s="54"/>
      <c r="E278" s="55"/>
      <c r="F278" s="55"/>
      <c r="G278" s="55"/>
      <c r="H278" s="55"/>
      <c r="I278" s="55"/>
      <c r="J278" s="55"/>
    </row>
    <row r="279" spans="1:12" ht="30">
      <c r="A279" s="36" t="s">
        <v>548</v>
      </c>
      <c r="B279" s="37"/>
      <c r="C279" s="36" t="s">
        <v>549</v>
      </c>
      <c r="D279" s="38" t="s">
        <v>7</v>
      </c>
      <c r="E279" s="39">
        <v>468.19</v>
      </c>
      <c r="F279" s="39">
        <v>46.68</v>
      </c>
      <c r="G279" s="39">
        <v>514.87</v>
      </c>
      <c r="H279" s="40">
        <f t="shared" ref="H279" si="134">G279*1.2293</f>
        <v>632.92969100000005</v>
      </c>
      <c r="I279" s="65">
        <v>1</v>
      </c>
      <c r="J279" s="42">
        <f t="shared" ref="J279" si="135">H279*I279</f>
        <v>632.92969100000005</v>
      </c>
    </row>
    <row r="280" spans="1:12" ht="30">
      <c r="A280" s="31" t="s">
        <v>488</v>
      </c>
      <c r="B280" s="32" t="s">
        <v>489</v>
      </c>
      <c r="C280" s="31"/>
      <c r="D280" s="43"/>
      <c r="E280" s="44"/>
      <c r="F280" s="44"/>
      <c r="G280" s="44"/>
      <c r="H280" s="44"/>
      <c r="I280" s="44"/>
      <c r="J280" s="44"/>
    </row>
    <row r="281" spans="1:12" ht="15.75">
      <c r="A281" s="36" t="s">
        <v>490</v>
      </c>
      <c r="B281" s="37"/>
      <c r="C281" s="36" t="s">
        <v>491</v>
      </c>
      <c r="D281" s="38" t="s">
        <v>7</v>
      </c>
      <c r="E281" s="39">
        <v>55.69</v>
      </c>
      <c r="F281" s="39">
        <v>9.9600000000000009</v>
      </c>
      <c r="G281" s="39">
        <v>65.650000000000006</v>
      </c>
      <c r="H281" s="40">
        <f t="shared" ref="H281:H283" si="136">G281*1.2293</f>
        <v>80.703545000000005</v>
      </c>
      <c r="I281" s="65">
        <v>1</v>
      </c>
      <c r="J281" s="42">
        <f t="shared" ref="J281:J283" si="137">H281*I281</f>
        <v>80.703545000000005</v>
      </c>
    </row>
    <row r="282" spans="1:12" ht="30">
      <c r="A282" s="31" t="s">
        <v>492</v>
      </c>
      <c r="B282" s="32" t="s">
        <v>493</v>
      </c>
      <c r="C282" s="31"/>
      <c r="D282" s="43"/>
      <c r="E282" s="44"/>
      <c r="F282" s="44"/>
      <c r="G282" s="44"/>
      <c r="H282" s="44"/>
      <c r="I282" s="44"/>
      <c r="J282" s="44"/>
    </row>
    <row r="283" spans="1:12" ht="30">
      <c r="A283" s="36" t="s">
        <v>494</v>
      </c>
      <c r="B283" s="37"/>
      <c r="C283" s="36" t="s">
        <v>495</v>
      </c>
      <c r="D283" s="38" t="s">
        <v>7</v>
      </c>
      <c r="E283" s="39">
        <v>0</v>
      </c>
      <c r="F283" s="39">
        <v>108</v>
      </c>
      <c r="G283" s="39">
        <v>108</v>
      </c>
      <c r="H283" s="40">
        <f t="shared" si="136"/>
        <v>132.76439999999999</v>
      </c>
      <c r="I283" s="65">
        <v>1</v>
      </c>
      <c r="J283" s="42">
        <f t="shared" si="137"/>
        <v>132.76439999999999</v>
      </c>
      <c r="L283" s="1"/>
    </row>
    <row r="284" spans="1:12" ht="15.75">
      <c r="A284" s="100"/>
      <c r="B284" s="101"/>
      <c r="C284" s="102"/>
      <c r="D284" s="103"/>
      <c r="E284" s="104"/>
      <c r="F284" s="104"/>
      <c r="G284" s="104"/>
      <c r="H284" s="40"/>
      <c r="I284" s="46" t="s">
        <v>30</v>
      </c>
      <c r="J284" s="47">
        <f>SUM(J277:J283)</f>
        <v>846.39763600000003</v>
      </c>
      <c r="L284" s="1"/>
    </row>
    <row r="285" spans="1:12" ht="15.75">
      <c r="A285" s="105" t="s">
        <v>12</v>
      </c>
      <c r="B285" s="106" t="s">
        <v>13</v>
      </c>
      <c r="C285" s="107"/>
      <c r="D285" s="29"/>
      <c r="E285" s="29"/>
      <c r="F285" s="29"/>
      <c r="G285" s="29"/>
      <c r="H285" s="29"/>
      <c r="I285" s="29"/>
      <c r="J285" s="30"/>
    </row>
    <row r="286" spans="1:12" ht="15.75">
      <c r="A286" s="52" t="s">
        <v>496</v>
      </c>
      <c r="B286" s="52" t="s">
        <v>497</v>
      </c>
      <c r="C286" s="53"/>
      <c r="D286" s="54"/>
      <c r="E286" s="55"/>
      <c r="F286" s="55"/>
      <c r="G286" s="55"/>
      <c r="H286" s="34"/>
      <c r="I286" s="34"/>
      <c r="J286" s="35"/>
    </row>
    <row r="287" spans="1:12" ht="30">
      <c r="A287" s="36" t="s">
        <v>498</v>
      </c>
      <c r="B287" s="37"/>
      <c r="C287" s="36" t="s">
        <v>499</v>
      </c>
      <c r="D287" s="38" t="s">
        <v>7</v>
      </c>
      <c r="E287" s="39">
        <v>19.63</v>
      </c>
      <c r="F287" s="39">
        <v>33.18</v>
      </c>
      <c r="G287" s="39">
        <v>52.81</v>
      </c>
      <c r="H287" s="40">
        <f>G287*1.2293</f>
        <v>64.919333000000009</v>
      </c>
      <c r="I287" s="108">
        <v>5</v>
      </c>
      <c r="J287" s="42">
        <f>I287*H287</f>
        <v>324.59666500000003</v>
      </c>
    </row>
    <row r="288" spans="1:12" ht="30">
      <c r="A288" s="31" t="s">
        <v>500</v>
      </c>
      <c r="B288" s="32" t="s">
        <v>501</v>
      </c>
      <c r="C288" s="31"/>
      <c r="D288" s="43"/>
      <c r="E288" s="44"/>
      <c r="F288" s="44"/>
      <c r="G288" s="44"/>
      <c r="H288" s="44"/>
      <c r="I288" s="44"/>
      <c r="J288" s="44"/>
    </row>
    <row r="289" spans="1:12" ht="30">
      <c r="A289" s="36" t="s">
        <v>502</v>
      </c>
      <c r="B289" s="37"/>
      <c r="C289" s="36" t="s">
        <v>503</v>
      </c>
      <c r="D289" s="38" t="s">
        <v>7</v>
      </c>
      <c r="E289" s="39">
        <v>63.28</v>
      </c>
      <c r="F289" s="39">
        <v>150.08000000000001</v>
      </c>
      <c r="G289" s="39">
        <v>213.36</v>
      </c>
      <c r="H289" s="40">
        <f t="shared" ref="H289:H291" si="138">G289*1.2293</f>
        <v>262.28344800000002</v>
      </c>
      <c r="I289" s="65">
        <v>3</v>
      </c>
      <c r="J289" s="42">
        <f t="shared" ref="J289:J291" si="139">I289*H289</f>
        <v>786.85034400000006</v>
      </c>
    </row>
    <row r="290" spans="1:12" ht="30">
      <c r="A290" s="31" t="s">
        <v>504</v>
      </c>
      <c r="B290" s="32" t="s">
        <v>505</v>
      </c>
      <c r="C290" s="31"/>
      <c r="D290" s="43"/>
      <c r="E290" s="44"/>
      <c r="F290" s="44"/>
      <c r="G290" s="44"/>
      <c r="H290" s="44"/>
      <c r="I290" s="44"/>
      <c r="J290" s="44"/>
    </row>
    <row r="291" spans="1:12" ht="16.5" customHeight="1">
      <c r="A291" s="36" t="s">
        <v>506</v>
      </c>
      <c r="B291" s="37"/>
      <c r="C291" s="36" t="s">
        <v>507</v>
      </c>
      <c r="D291" s="38" t="s">
        <v>7</v>
      </c>
      <c r="E291" s="39">
        <v>17.25</v>
      </c>
      <c r="F291" s="39">
        <v>33.18</v>
      </c>
      <c r="G291" s="39">
        <v>50.43</v>
      </c>
      <c r="H291" s="40">
        <f t="shared" si="138"/>
        <v>61.993599000000003</v>
      </c>
      <c r="I291" s="65">
        <v>5</v>
      </c>
      <c r="J291" s="42">
        <f t="shared" si="139"/>
        <v>309.96799500000003</v>
      </c>
    </row>
    <row r="292" spans="1:12" ht="30">
      <c r="A292" s="31" t="s">
        <v>508</v>
      </c>
      <c r="B292" s="32" t="s">
        <v>509</v>
      </c>
      <c r="C292" s="31"/>
      <c r="D292" s="43"/>
      <c r="E292" s="44"/>
      <c r="F292" s="44"/>
      <c r="G292" s="44"/>
      <c r="H292" s="44"/>
      <c r="I292" s="44"/>
      <c r="J292" s="44"/>
    </row>
    <row r="293" spans="1:12" ht="30">
      <c r="A293" s="36" t="s">
        <v>510</v>
      </c>
      <c r="B293" s="37"/>
      <c r="C293" s="36" t="s">
        <v>511</v>
      </c>
      <c r="D293" s="38" t="s">
        <v>7</v>
      </c>
      <c r="E293" s="39">
        <v>256.27</v>
      </c>
      <c r="F293" s="39">
        <v>49.78</v>
      </c>
      <c r="G293" s="39">
        <v>306.05</v>
      </c>
      <c r="H293" s="40">
        <f t="shared" ref="H293" si="140">G293*1.2293</f>
        <v>376.22726500000005</v>
      </c>
      <c r="I293" s="65">
        <v>2</v>
      </c>
      <c r="J293" s="42">
        <f t="shared" ref="J293" si="141">I293*H293</f>
        <v>752.45453000000009</v>
      </c>
    </row>
    <row r="294" spans="1:12" ht="15.75">
      <c r="A294" s="74"/>
      <c r="B294" s="37"/>
      <c r="C294" s="36"/>
      <c r="D294" s="38"/>
      <c r="E294" s="39"/>
      <c r="F294" s="39"/>
      <c r="G294" s="39"/>
      <c r="H294" s="109"/>
      <c r="I294" s="46" t="s">
        <v>30</v>
      </c>
      <c r="J294" s="47">
        <f>SUM(J287:J293)</f>
        <v>2173.8695339999999</v>
      </c>
    </row>
    <row r="295" spans="1:12">
      <c r="A295" s="89" t="s">
        <v>512</v>
      </c>
      <c r="B295" s="89" t="s">
        <v>513</v>
      </c>
      <c r="C295" s="90"/>
      <c r="D295" s="91"/>
      <c r="E295" s="92"/>
      <c r="F295" s="92"/>
      <c r="G295" s="92"/>
      <c r="H295" s="92"/>
      <c r="I295" s="92"/>
      <c r="J295" s="92"/>
    </row>
    <row r="296" spans="1:12" ht="30">
      <c r="A296" s="31" t="s">
        <v>514</v>
      </c>
      <c r="B296" s="32" t="s">
        <v>515</v>
      </c>
      <c r="C296" s="31"/>
      <c r="D296" s="43"/>
      <c r="E296" s="44"/>
      <c r="F296" s="44"/>
      <c r="G296" s="44"/>
      <c r="H296" s="44"/>
      <c r="I296" s="44"/>
      <c r="J296" s="44"/>
    </row>
    <row r="297" spans="1:12" ht="28.5" customHeight="1">
      <c r="A297" s="36" t="s">
        <v>516</v>
      </c>
      <c r="B297" s="37"/>
      <c r="C297" s="36" t="s">
        <v>517</v>
      </c>
      <c r="D297" s="38" t="s">
        <v>7</v>
      </c>
      <c r="E297" s="39">
        <v>94.74</v>
      </c>
      <c r="F297" s="39">
        <v>16.600000000000001</v>
      </c>
      <c r="G297" s="39">
        <v>111.34</v>
      </c>
      <c r="H297" s="40">
        <f t="shared" ref="H297" si="142">G297*1.2293</f>
        <v>136.870262</v>
      </c>
      <c r="I297" s="65">
        <v>5</v>
      </c>
      <c r="J297" s="42">
        <f t="shared" ref="J297" si="143">I297*H297</f>
        <v>684.35131000000001</v>
      </c>
    </row>
    <row r="298" spans="1:12" ht="30">
      <c r="A298" s="31" t="s">
        <v>518</v>
      </c>
      <c r="B298" s="32" t="s">
        <v>519</v>
      </c>
      <c r="C298" s="31"/>
      <c r="D298" s="43"/>
      <c r="E298" s="44"/>
      <c r="F298" s="44"/>
      <c r="G298" s="44"/>
      <c r="H298" s="44"/>
      <c r="I298" s="44"/>
      <c r="J298" s="44"/>
    </row>
    <row r="299" spans="1:12" ht="16.5" customHeight="1">
      <c r="A299" s="36" t="s">
        <v>520</v>
      </c>
      <c r="B299" s="37"/>
      <c r="C299" s="36" t="s">
        <v>521</v>
      </c>
      <c r="D299" s="38" t="s">
        <v>7</v>
      </c>
      <c r="E299" s="39">
        <v>98.42</v>
      </c>
      <c r="F299" s="39">
        <v>13.78</v>
      </c>
      <c r="G299" s="39">
        <v>112.2</v>
      </c>
      <c r="H299" s="40">
        <f t="shared" ref="H299" si="144">G299*1.2293</f>
        <v>137.92746</v>
      </c>
      <c r="I299" s="65">
        <v>2</v>
      </c>
      <c r="J299" s="42">
        <f t="shared" ref="J299" si="145">I299*H299</f>
        <v>275.85491999999999</v>
      </c>
    </row>
    <row r="300" spans="1:12" ht="15.75" customHeight="1">
      <c r="A300" s="36" t="s">
        <v>522</v>
      </c>
      <c r="B300" s="37"/>
      <c r="C300" s="36" t="s">
        <v>523</v>
      </c>
      <c r="D300" s="38" t="s">
        <v>7</v>
      </c>
      <c r="E300" s="39">
        <v>95.37</v>
      </c>
      <c r="F300" s="39">
        <v>13.78</v>
      </c>
      <c r="G300" s="39">
        <v>109.15</v>
      </c>
      <c r="H300" s="40">
        <f t="shared" ref="H300:H301" si="146">G300*1.2293</f>
        <v>134.17809500000001</v>
      </c>
      <c r="I300" s="65">
        <v>1</v>
      </c>
      <c r="J300" s="42">
        <f t="shared" ref="J300:J301" si="147">I300*H300</f>
        <v>134.17809500000001</v>
      </c>
    </row>
    <row r="301" spans="1:12" ht="16.5" customHeight="1">
      <c r="A301" s="36" t="s">
        <v>524</v>
      </c>
      <c r="B301" s="37"/>
      <c r="C301" s="36" t="s">
        <v>525</v>
      </c>
      <c r="D301" s="38" t="s">
        <v>7</v>
      </c>
      <c r="E301" s="39">
        <v>132.15</v>
      </c>
      <c r="F301" s="39">
        <v>13.78</v>
      </c>
      <c r="G301" s="39">
        <v>145.93</v>
      </c>
      <c r="H301" s="40">
        <f t="shared" si="146"/>
        <v>179.391749</v>
      </c>
      <c r="I301" s="65">
        <v>2</v>
      </c>
      <c r="J301" s="42">
        <f t="shared" si="147"/>
        <v>358.78349800000001</v>
      </c>
    </row>
    <row r="302" spans="1:12" ht="30">
      <c r="A302" s="31" t="s">
        <v>526</v>
      </c>
      <c r="B302" s="32" t="s">
        <v>527</v>
      </c>
      <c r="C302" s="31"/>
      <c r="D302" s="43"/>
      <c r="E302" s="44"/>
      <c r="F302" s="44"/>
      <c r="G302" s="44"/>
      <c r="H302" s="44"/>
      <c r="I302" s="44"/>
      <c r="J302" s="44"/>
    </row>
    <row r="303" spans="1:12" ht="27.75" customHeight="1">
      <c r="A303" s="36" t="s">
        <v>528</v>
      </c>
      <c r="B303" s="37"/>
      <c r="C303" s="36" t="s">
        <v>529</v>
      </c>
      <c r="D303" s="38" t="s">
        <v>7</v>
      </c>
      <c r="E303" s="39">
        <v>18.87</v>
      </c>
      <c r="F303" s="39">
        <v>0</v>
      </c>
      <c r="G303" s="39">
        <v>18.87</v>
      </c>
      <c r="H303" s="40">
        <f t="shared" ref="H303" si="148">G303*1.2293</f>
        <v>23.196891000000001</v>
      </c>
      <c r="I303" s="65">
        <v>5</v>
      </c>
      <c r="J303" s="42">
        <f t="shared" ref="J303" si="149">I303*H303</f>
        <v>115.984455</v>
      </c>
    </row>
    <row r="304" spans="1:12" ht="15.75">
      <c r="A304" s="167"/>
      <c r="B304" s="168"/>
      <c r="C304" s="168"/>
      <c r="D304" s="168"/>
      <c r="E304" s="168"/>
      <c r="F304" s="168"/>
      <c r="G304" s="168"/>
      <c r="H304" s="109"/>
      <c r="I304" s="46" t="s">
        <v>30</v>
      </c>
      <c r="J304" s="47">
        <f>SUM(J297:J303)</f>
        <v>1569.152278</v>
      </c>
      <c r="L304" s="5"/>
    </row>
    <row r="305" spans="1:10" ht="15.75">
      <c r="A305" s="105" t="s">
        <v>14</v>
      </c>
      <c r="B305" s="106" t="s">
        <v>15</v>
      </c>
      <c r="C305" s="107"/>
      <c r="D305" s="29"/>
      <c r="E305" s="29"/>
      <c r="F305" s="29"/>
      <c r="G305" s="29"/>
      <c r="H305" s="29"/>
      <c r="I305" s="29"/>
      <c r="J305" s="30"/>
    </row>
    <row r="306" spans="1:10" ht="15.75">
      <c r="A306" s="110" t="s">
        <v>16</v>
      </c>
      <c r="B306" s="111" t="s">
        <v>17</v>
      </c>
      <c r="C306" s="112"/>
      <c r="D306" s="33"/>
      <c r="E306" s="34"/>
      <c r="F306" s="34"/>
      <c r="G306" s="34"/>
      <c r="H306" s="34"/>
      <c r="I306" s="34"/>
      <c r="J306" s="35"/>
    </row>
    <row r="307" spans="1:10" ht="29.25" customHeight="1">
      <c r="A307" s="113" t="s">
        <v>18</v>
      </c>
      <c r="B307" s="57"/>
      <c r="C307" s="58" t="s">
        <v>19</v>
      </c>
      <c r="D307" s="57" t="s">
        <v>0</v>
      </c>
      <c r="E307" s="39">
        <v>1.85</v>
      </c>
      <c r="F307" s="39">
        <v>0.11</v>
      </c>
      <c r="G307" s="39">
        <v>1.96</v>
      </c>
      <c r="H307" s="40">
        <f t="shared" ref="H307" si="150">G307*1.2293</f>
        <v>2.4094280000000001</v>
      </c>
      <c r="I307" s="114">
        <f>75*2</f>
        <v>150</v>
      </c>
      <c r="J307" s="42">
        <f>H307*I307</f>
        <v>361.41419999999999</v>
      </c>
    </row>
    <row r="308" spans="1:10" ht="15" customHeight="1">
      <c r="A308" s="36"/>
      <c r="B308" s="37"/>
      <c r="C308" s="36"/>
      <c r="D308" s="38"/>
      <c r="E308" s="39"/>
      <c r="F308" s="39"/>
      <c r="G308" s="39"/>
      <c r="H308" s="40"/>
      <c r="I308" s="114"/>
      <c r="J308" s="42"/>
    </row>
    <row r="309" spans="1:10" ht="15.75">
      <c r="A309" s="110" t="s">
        <v>20</v>
      </c>
      <c r="B309" s="111" t="s">
        <v>21</v>
      </c>
      <c r="C309" s="112"/>
      <c r="D309" s="33"/>
      <c r="E309" s="34"/>
      <c r="F309" s="34"/>
      <c r="G309" s="34"/>
      <c r="H309" s="34"/>
      <c r="I309" s="34"/>
      <c r="J309" s="35"/>
    </row>
    <row r="310" spans="1:10" ht="16.5" customHeight="1">
      <c r="A310" s="36" t="s">
        <v>22</v>
      </c>
      <c r="B310" s="37"/>
      <c r="C310" s="36" t="s">
        <v>23</v>
      </c>
      <c r="D310" s="38" t="s">
        <v>10</v>
      </c>
      <c r="E310" s="39">
        <v>28.87</v>
      </c>
      <c r="F310" s="39">
        <v>8.14</v>
      </c>
      <c r="G310" s="39">
        <v>37.01</v>
      </c>
      <c r="H310" s="40">
        <f t="shared" ref="H310:H311" si="151">G310*1.2293</f>
        <v>45.496392999999998</v>
      </c>
      <c r="I310" s="108">
        <v>75</v>
      </c>
      <c r="J310" s="42">
        <f t="shared" ref="J310:J311" si="152">G310*I310</f>
        <v>2775.75</v>
      </c>
    </row>
    <row r="311" spans="1:10" ht="13.5" customHeight="1">
      <c r="A311" s="36" t="s">
        <v>532</v>
      </c>
      <c r="B311" s="37"/>
      <c r="C311" s="36" t="s">
        <v>533</v>
      </c>
      <c r="D311" s="38" t="s">
        <v>11</v>
      </c>
      <c r="E311" s="39">
        <v>393.91</v>
      </c>
      <c r="F311" s="39">
        <v>59.84</v>
      </c>
      <c r="G311" s="39">
        <v>453.75</v>
      </c>
      <c r="H311" s="40">
        <f t="shared" si="151"/>
        <v>557.79487500000005</v>
      </c>
      <c r="I311" s="108">
        <f>75*0.3*0.1</f>
        <v>2.25</v>
      </c>
      <c r="J311" s="42">
        <f t="shared" si="152"/>
        <v>1020.9375</v>
      </c>
    </row>
    <row r="312" spans="1:10" ht="15.75">
      <c r="A312" s="129"/>
      <c r="B312" s="130"/>
      <c r="C312" s="130"/>
      <c r="D312" s="130"/>
      <c r="E312" s="130"/>
      <c r="F312" s="130"/>
      <c r="G312" s="131"/>
      <c r="H312" s="115"/>
      <c r="I312" s="46" t="s">
        <v>30</v>
      </c>
      <c r="J312" s="47">
        <f>SUM(J307:J311)</f>
        <v>4158.1017000000002</v>
      </c>
    </row>
    <row r="313" spans="1:10" ht="15.75">
      <c r="A313" s="105" t="s">
        <v>24</v>
      </c>
      <c r="B313" s="106" t="s">
        <v>25</v>
      </c>
      <c r="C313" s="107"/>
      <c r="D313" s="29"/>
      <c r="E313" s="29"/>
      <c r="F313" s="29"/>
      <c r="G313" s="116"/>
      <c r="H313" s="116"/>
      <c r="I313" s="29"/>
      <c r="J313" s="30"/>
    </row>
    <row r="314" spans="1:10" ht="30">
      <c r="A314" s="31" t="s">
        <v>541</v>
      </c>
      <c r="B314" s="32" t="s">
        <v>542</v>
      </c>
      <c r="C314" s="31"/>
      <c r="D314" s="43"/>
      <c r="E314" s="44"/>
      <c r="F314" s="44"/>
      <c r="G314" s="44"/>
      <c r="H314" s="117"/>
      <c r="I314" s="34"/>
      <c r="J314" s="35"/>
    </row>
    <row r="315" spans="1:10" ht="27" customHeight="1">
      <c r="A315" s="36" t="s">
        <v>543</v>
      </c>
      <c r="B315" s="37"/>
      <c r="C315" s="36" t="s">
        <v>544</v>
      </c>
      <c r="D315" s="38" t="s">
        <v>7</v>
      </c>
      <c r="E315" s="39">
        <v>7.94</v>
      </c>
      <c r="F315" s="39">
        <v>4.3499999999999996</v>
      </c>
      <c r="G315" s="39">
        <v>12.29</v>
      </c>
      <c r="H315" s="40">
        <f t="shared" ref="H315" si="153">G315*1.2293</f>
        <v>15.108096999999999</v>
      </c>
      <c r="I315" s="108">
        <v>4</v>
      </c>
      <c r="J315" s="42">
        <f t="shared" ref="J315" si="154">G315*I315</f>
        <v>49.16</v>
      </c>
    </row>
    <row r="316" spans="1:10" ht="28.5" customHeight="1">
      <c r="A316" s="36" t="s">
        <v>545</v>
      </c>
      <c r="B316" s="37"/>
      <c r="C316" s="36" t="s">
        <v>546</v>
      </c>
      <c r="D316" s="38" t="s">
        <v>7</v>
      </c>
      <c r="E316" s="39">
        <v>13.01</v>
      </c>
      <c r="F316" s="39">
        <v>4.3499999999999996</v>
      </c>
      <c r="G316" s="39">
        <v>17.36</v>
      </c>
      <c r="H316" s="40">
        <f t="shared" ref="H316" si="155">G316*1.2293</f>
        <v>21.340648000000002</v>
      </c>
      <c r="I316" s="108">
        <v>7</v>
      </c>
      <c r="J316" s="42">
        <f t="shared" ref="J316" si="156">G316*I316</f>
        <v>121.52</v>
      </c>
    </row>
    <row r="317" spans="1:10" ht="16.5" thickBot="1">
      <c r="A317" s="162"/>
      <c r="B317" s="163"/>
      <c r="C317" s="163"/>
      <c r="D317" s="163"/>
      <c r="E317" s="163"/>
      <c r="F317" s="163"/>
      <c r="G317" s="164"/>
      <c r="H317" s="118"/>
      <c r="I317" s="119" t="s">
        <v>30</v>
      </c>
      <c r="J317" s="120">
        <f>SUM(J315:J316)</f>
        <v>170.68</v>
      </c>
    </row>
    <row r="318" spans="1:10" ht="15.75" customHeight="1" thickBot="1">
      <c r="A318" s="121"/>
      <c r="B318" s="121"/>
      <c r="C318" s="121"/>
      <c r="D318" s="121"/>
      <c r="E318" s="121"/>
      <c r="F318" s="121"/>
      <c r="G318" s="156" t="s">
        <v>31</v>
      </c>
      <c r="H318" s="157"/>
      <c r="I318" s="158"/>
      <c r="J318" s="122">
        <f>J317+J312+J304+J294+J284+J276+J268+J254+J251+J224+J214+J206+J198+J183+J171+J161+J145+J141+J137+J125+J121+J110+J106+J102+J96+J89+J81+J77+J70+J65+J59+J55+J51+J47+J43+J32+J28+J22+J14+J85</f>
        <v>240291.13017598118</v>
      </c>
    </row>
    <row r="319" spans="1:10" ht="15.75" customHeight="1">
      <c r="A319" s="121"/>
      <c r="B319" s="121"/>
      <c r="C319" s="121"/>
      <c r="D319" s="121"/>
      <c r="E319" s="121"/>
      <c r="F319" s="121"/>
      <c r="G319" s="126"/>
      <c r="H319" s="126"/>
      <c r="I319" s="126"/>
      <c r="J319" s="127"/>
    </row>
    <row r="320" spans="1:10" ht="13.5" customHeight="1">
      <c r="A320" s="121"/>
      <c r="B320" s="121"/>
      <c r="C320" s="123" t="s">
        <v>551</v>
      </c>
      <c r="D320" s="124"/>
      <c r="E320" s="124"/>
      <c r="F320" s="128" t="s">
        <v>552</v>
      </c>
      <c r="G320" s="128"/>
      <c r="H320" s="128"/>
      <c r="I320" s="128"/>
      <c r="J320" s="125"/>
    </row>
    <row r="321" spans="1:10" ht="15.75">
      <c r="A321" s="121"/>
      <c r="B321" s="121"/>
      <c r="C321" s="123" t="s">
        <v>550</v>
      </c>
      <c r="D321" s="124"/>
      <c r="E321" s="124"/>
      <c r="F321" s="128" t="s">
        <v>553</v>
      </c>
      <c r="G321" s="128"/>
      <c r="H321" s="128"/>
      <c r="I321" s="128"/>
      <c r="J321" s="125"/>
    </row>
  </sheetData>
  <mergeCells count="17">
    <mergeCell ref="A304:G304"/>
    <mergeCell ref="F320:I320"/>
    <mergeCell ref="F321:I321"/>
    <mergeCell ref="A312:G312"/>
    <mergeCell ref="A14:G14"/>
    <mergeCell ref="A1:J1"/>
    <mergeCell ref="A2:J2"/>
    <mergeCell ref="A3:J3"/>
    <mergeCell ref="A4:J4"/>
    <mergeCell ref="A5:J5"/>
    <mergeCell ref="A6:B6"/>
    <mergeCell ref="D6:F6"/>
    <mergeCell ref="I6:J6"/>
    <mergeCell ref="G318:I318"/>
    <mergeCell ref="A7:J7"/>
    <mergeCell ref="A317:G317"/>
    <mergeCell ref="A43:G4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C1" workbookViewId="0">
      <selection activeCell="H10" sqref="H10"/>
    </sheetView>
  </sheetViews>
  <sheetFormatPr defaultRowHeight="14.25"/>
  <cols>
    <col min="1" max="1" width="4.28515625" style="6" customWidth="1"/>
    <col min="2" max="2" width="91.42578125" style="6" bestFit="1" customWidth="1"/>
    <col min="3" max="3" width="12.7109375" style="6" bestFit="1" customWidth="1"/>
    <col min="4" max="4" width="9.28515625" style="6" bestFit="1" customWidth="1"/>
    <col min="5" max="5" width="7.42578125" style="6" customWidth="1"/>
    <col min="6" max="6" width="8.7109375" style="6" customWidth="1"/>
    <col min="7" max="7" width="8.140625" style="6" customWidth="1"/>
    <col min="8" max="10" width="11.42578125" style="6" bestFit="1" customWidth="1"/>
    <col min="11" max="11" width="11.5703125" style="6" customWidth="1"/>
    <col min="12" max="12" width="12" style="6" customWidth="1"/>
    <col min="13" max="15" width="12.7109375" style="6" bestFit="1" customWidth="1"/>
    <col min="16" max="16384" width="9.140625" style="6"/>
  </cols>
  <sheetData>
    <row r="1" spans="1:15" ht="60" customHeight="1">
      <c r="A1" s="182" t="s">
        <v>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>
      <c r="A2" s="184" t="s">
        <v>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>
      <c r="A3" s="186" t="s">
        <v>28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 ht="15">
      <c r="A4" s="201" t="s">
        <v>39</v>
      </c>
      <c r="B4" s="202"/>
      <c r="C4" s="202"/>
      <c r="D4" s="7"/>
      <c r="E4" s="7"/>
      <c r="F4" s="7"/>
      <c r="G4" s="7"/>
      <c r="H4" s="199" t="s">
        <v>32</v>
      </c>
      <c r="I4" s="200"/>
      <c r="J4" s="200"/>
      <c r="K4" s="200"/>
      <c r="L4" s="200"/>
      <c r="M4" s="200"/>
      <c r="N4" s="200"/>
      <c r="O4" s="200"/>
    </row>
    <row r="5" spans="1:15" ht="15">
      <c r="A5" s="201"/>
      <c r="B5" s="202"/>
      <c r="C5" s="202"/>
      <c r="D5" s="8" t="s">
        <v>33</v>
      </c>
      <c r="E5" s="9" t="s">
        <v>34</v>
      </c>
      <c r="F5" s="9" t="s">
        <v>35</v>
      </c>
      <c r="G5" s="9" t="s">
        <v>40</v>
      </c>
      <c r="H5" s="10">
        <v>1</v>
      </c>
      <c r="I5" s="10">
        <f>H5+1</f>
        <v>2</v>
      </c>
      <c r="J5" s="10">
        <f t="shared" ref="J5:O5" si="0">I5+1</f>
        <v>3</v>
      </c>
      <c r="K5" s="10">
        <f t="shared" si="0"/>
        <v>4</v>
      </c>
      <c r="L5" s="10">
        <f t="shared" si="0"/>
        <v>5</v>
      </c>
      <c r="M5" s="10">
        <f t="shared" si="0"/>
        <v>6</v>
      </c>
      <c r="N5" s="10">
        <f t="shared" si="0"/>
        <v>7</v>
      </c>
      <c r="O5" s="10">
        <f t="shared" si="0"/>
        <v>8</v>
      </c>
    </row>
    <row r="6" spans="1:15" ht="39.75" customHeight="1">
      <c r="A6" s="188" t="s">
        <v>570</v>
      </c>
      <c r="B6" s="189"/>
      <c r="C6" s="189"/>
      <c r="D6" s="2">
        <v>8</v>
      </c>
      <c r="E6" s="2">
        <v>1</v>
      </c>
      <c r="F6" s="3">
        <v>8</v>
      </c>
      <c r="G6" s="4"/>
      <c r="H6" s="11">
        <f t="shared" ref="H6:O7" si="1">IF(AND($E6&lt;=H$5,$F6&gt;=H$5)=TRUE,1,0)</f>
        <v>1</v>
      </c>
      <c r="I6" s="11">
        <f t="shared" si="1"/>
        <v>1</v>
      </c>
      <c r="J6" s="11">
        <f t="shared" si="1"/>
        <v>1</v>
      </c>
      <c r="K6" s="11">
        <f t="shared" si="1"/>
        <v>1</v>
      </c>
      <c r="L6" s="11">
        <f t="shared" si="1"/>
        <v>1</v>
      </c>
      <c r="M6" s="11">
        <f t="shared" si="1"/>
        <v>1</v>
      </c>
      <c r="N6" s="11">
        <f t="shared" si="1"/>
        <v>1</v>
      </c>
      <c r="O6" s="11">
        <f t="shared" si="1"/>
        <v>1</v>
      </c>
    </row>
    <row r="7" spans="1:15" ht="15">
      <c r="A7" s="190" t="s">
        <v>36</v>
      </c>
      <c r="B7" s="190"/>
      <c r="C7" s="191"/>
      <c r="D7" s="194">
        <v>8</v>
      </c>
      <c r="E7" s="196">
        <f>MIN(E9:E22)</f>
        <v>1</v>
      </c>
      <c r="F7" s="196">
        <v>8</v>
      </c>
      <c r="G7" s="197"/>
      <c r="H7" s="12">
        <f t="shared" si="1"/>
        <v>1</v>
      </c>
      <c r="I7" s="12">
        <f t="shared" si="1"/>
        <v>1</v>
      </c>
      <c r="J7" s="12">
        <f t="shared" si="1"/>
        <v>1</v>
      </c>
      <c r="K7" s="12">
        <f t="shared" si="1"/>
        <v>1</v>
      </c>
      <c r="L7" s="12">
        <f t="shared" si="1"/>
        <v>1</v>
      </c>
      <c r="M7" s="12">
        <f t="shared" si="1"/>
        <v>1</v>
      </c>
      <c r="N7" s="12">
        <f t="shared" si="1"/>
        <v>1</v>
      </c>
      <c r="O7" s="12">
        <f t="shared" si="1"/>
        <v>1</v>
      </c>
    </row>
    <row r="8" spans="1:15" ht="15">
      <c r="A8" s="192"/>
      <c r="B8" s="192"/>
      <c r="C8" s="193"/>
      <c r="D8" s="195"/>
      <c r="E8" s="195"/>
      <c r="F8" s="195"/>
      <c r="G8" s="198"/>
      <c r="H8" s="12"/>
      <c r="I8" s="12"/>
      <c r="J8" s="12"/>
      <c r="K8" s="12"/>
      <c r="L8" s="12"/>
      <c r="M8" s="12"/>
      <c r="N8" s="12"/>
      <c r="O8" s="12"/>
    </row>
    <row r="9" spans="1:15" ht="15">
      <c r="A9" s="170">
        <v>1</v>
      </c>
      <c r="B9" s="172" t="str">
        <f>Orçamento!B9</f>
        <v>INÍCIO, APOIO E ADMINISTRAÇÃO DA OBRA</v>
      </c>
      <c r="C9" s="173">
        <f>Orçamento!J14</f>
        <v>2142.0798359999999</v>
      </c>
      <c r="D9" s="169">
        <f>F9-E9+1</f>
        <v>1</v>
      </c>
      <c r="E9" s="171">
        <v>1</v>
      </c>
      <c r="F9" s="171">
        <v>1</v>
      </c>
      <c r="G9" s="13" t="s">
        <v>32</v>
      </c>
      <c r="H9" s="14">
        <f t="shared" ref="H9:O9" si="2">IF(IF(AND($E9&lt;=H$5,$F9&gt;=H$5)=TRUE,1,0)=1,$C9/$D9,0)</f>
        <v>2142.0798359999999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</row>
    <row r="10" spans="1:15" ht="15">
      <c r="A10" s="170"/>
      <c r="B10" s="172"/>
      <c r="C10" s="174"/>
      <c r="D10" s="170"/>
      <c r="E10" s="170"/>
      <c r="F10" s="170"/>
      <c r="G10" s="13" t="s">
        <v>37</v>
      </c>
      <c r="H10" s="14">
        <f>IF(H9&gt;0,H9,0)</f>
        <v>2142.0798359999999</v>
      </c>
      <c r="I10" s="14">
        <f>IF(I9&gt;0,I9+H10,0)</f>
        <v>0</v>
      </c>
      <c r="J10" s="14">
        <f t="shared" ref="J10:O10" si="3">IF(J9&gt;0,J9+I10,0)</f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</row>
    <row r="11" spans="1:15" ht="15">
      <c r="A11" s="170">
        <v>2</v>
      </c>
      <c r="B11" s="172" t="str">
        <f>Orçamento!B15</f>
        <v>FORMA</v>
      </c>
      <c r="C11" s="173">
        <f>Orçamento!J22</f>
        <v>8118.54306</v>
      </c>
      <c r="D11" s="169">
        <f t="shared" ref="D11" si="4">F11-E11+1</f>
        <v>3</v>
      </c>
      <c r="E11" s="171">
        <v>1</v>
      </c>
      <c r="F11" s="171">
        <v>3</v>
      </c>
      <c r="G11" s="13" t="s">
        <v>32</v>
      </c>
      <c r="H11" s="14">
        <f t="shared" ref="H11:O11" si="5">IF(IF(AND($E11&lt;=H$5,$F11&gt;=H$5)=TRUE,1,0)=1,$C11/$D11,0)</f>
        <v>2706.18102</v>
      </c>
      <c r="I11" s="14">
        <f t="shared" si="5"/>
        <v>2706.18102</v>
      </c>
      <c r="J11" s="14">
        <f t="shared" si="5"/>
        <v>2706.18102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5"/>
        <v>0</v>
      </c>
      <c r="O11" s="14">
        <f t="shared" si="5"/>
        <v>0</v>
      </c>
    </row>
    <row r="12" spans="1:15" ht="15">
      <c r="A12" s="170"/>
      <c r="B12" s="172"/>
      <c r="C12" s="174"/>
      <c r="D12" s="170"/>
      <c r="E12" s="170"/>
      <c r="F12" s="170"/>
      <c r="G12" s="13" t="s">
        <v>37</v>
      </c>
      <c r="H12" s="14">
        <f>IF(H11&gt;0,H11,0)</f>
        <v>2706.18102</v>
      </c>
      <c r="I12" s="14">
        <f>IF(I11&gt;0,I11+H12,0)</f>
        <v>5412.36204</v>
      </c>
      <c r="J12" s="14">
        <f t="shared" ref="J12:O12" si="6">IF(J11&gt;0,J11+I12,0)</f>
        <v>8118.54306</v>
      </c>
      <c r="K12" s="14">
        <f t="shared" si="6"/>
        <v>0</v>
      </c>
      <c r="L12" s="14">
        <f t="shared" si="6"/>
        <v>0</v>
      </c>
      <c r="M12" s="14">
        <f t="shared" si="6"/>
        <v>0</v>
      </c>
      <c r="N12" s="14">
        <f t="shared" si="6"/>
        <v>0</v>
      </c>
      <c r="O12" s="14">
        <f t="shared" si="6"/>
        <v>0</v>
      </c>
    </row>
    <row r="13" spans="1:15" ht="15">
      <c r="A13" s="170">
        <v>3</v>
      </c>
      <c r="B13" s="172" t="str">
        <f>Orçamento!B23</f>
        <v>ARMADURA E CORDOALHA ESTRUTURAL</v>
      </c>
      <c r="C13" s="173">
        <f>Orçamento!J28</f>
        <v>7947.9346594999997</v>
      </c>
      <c r="D13" s="169">
        <f t="shared" ref="D13" si="7">F13-E13+1</f>
        <v>4</v>
      </c>
      <c r="E13" s="171">
        <v>1</v>
      </c>
      <c r="F13" s="171">
        <v>4</v>
      </c>
      <c r="G13" s="13" t="s">
        <v>32</v>
      </c>
      <c r="H13" s="14">
        <f t="shared" ref="H13:O13" si="8">IF(IF(AND($E13&lt;=H$5,$F13&gt;=H$5)=TRUE,1,0)=1,$C13/$D13,0)</f>
        <v>1986.9836648749999</v>
      </c>
      <c r="I13" s="14">
        <f t="shared" si="8"/>
        <v>1986.9836648749999</v>
      </c>
      <c r="J13" s="14">
        <f t="shared" si="8"/>
        <v>1986.9836648749999</v>
      </c>
      <c r="K13" s="14">
        <f t="shared" si="8"/>
        <v>1986.9836648749999</v>
      </c>
      <c r="L13" s="14">
        <f t="shared" si="8"/>
        <v>0</v>
      </c>
      <c r="M13" s="14">
        <f t="shared" si="8"/>
        <v>0</v>
      </c>
      <c r="N13" s="14">
        <f t="shared" si="8"/>
        <v>0</v>
      </c>
      <c r="O13" s="14">
        <f t="shared" si="8"/>
        <v>0</v>
      </c>
    </row>
    <row r="14" spans="1:15" ht="15">
      <c r="A14" s="170"/>
      <c r="B14" s="172"/>
      <c r="C14" s="174"/>
      <c r="D14" s="170"/>
      <c r="E14" s="170"/>
      <c r="F14" s="170"/>
      <c r="G14" s="13" t="s">
        <v>37</v>
      </c>
      <c r="H14" s="14">
        <f>IF(H13&gt;0,H13,0)</f>
        <v>1986.9836648749999</v>
      </c>
      <c r="I14" s="14">
        <f>IF(I13&gt;0,I13+H14,0)</f>
        <v>3973.9673297499999</v>
      </c>
      <c r="J14" s="14">
        <f t="shared" ref="J14:O14" si="9">IF(J13&gt;0,J13+I14,0)</f>
        <v>5960.950994625</v>
      </c>
      <c r="K14" s="14">
        <f t="shared" si="9"/>
        <v>7947.9346594999997</v>
      </c>
      <c r="L14" s="14">
        <f t="shared" si="9"/>
        <v>0</v>
      </c>
      <c r="M14" s="14">
        <f t="shared" si="9"/>
        <v>0</v>
      </c>
      <c r="N14" s="14">
        <f t="shared" si="9"/>
        <v>0</v>
      </c>
      <c r="O14" s="14">
        <f t="shared" si="9"/>
        <v>0</v>
      </c>
    </row>
    <row r="15" spans="1:15" ht="15">
      <c r="A15" s="170">
        <v>4</v>
      </c>
      <c r="B15" s="172" t="str">
        <f>Orçamento!B29</f>
        <v>FUNDAÇÃO PROFUNDA</v>
      </c>
      <c r="C15" s="173">
        <f>Orçamento!J32</f>
        <v>5706.6564600000002</v>
      </c>
      <c r="D15" s="169">
        <f t="shared" ref="D15" si="10">F15-E15+1</f>
        <v>2</v>
      </c>
      <c r="E15" s="171">
        <v>1</v>
      </c>
      <c r="F15" s="171">
        <v>2</v>
      </c>
      <c r="G15" s="13" t="s">
        <v>32</v>
      </c>
      <c r="H15" s="14">
        <f t="shared" ref="H15:O15" si="11">IF(IF(AND($E15&lt;=H$5,$F15&gt;=H$5)=TRUE,1,0)=1,$C15/$D15,0)</f>
        <v>2853.3282300000001</v>
      </c>
      <c r="I15" s="14">
        <f t="shared" si="11"/>
        <v>2853.3282300000001</v>
      </c>
      <c r="J15" s="14">
        <f t="shared" si="11"/>
        <v>0</v>
      </c>
      <c r="K15" s="14">
        <f t="shared" si="11"/>
        <v>0</v>
      </c>
      <c r="L15" s="14">
        <f t="shared" si="11"/>
        <v>0</v>
      </c>
      <c r="M15" s="14">
        <f t="shared" si="11"/>
        <v>0</v>
      </c>
      <c r="N15" s="14">
        <f t="shared" si="11"/>
        <v>0</v>
      </c>
      <c r="O15" s="14">
        <f t="shared" si="11"/>
        <v>0</v>
      </c>
    </row>
    <row r="16" spans="1:15" ht="15">
      <c r="A16" s="170"/>
      <c r="B16" s="172"/>
      <c r="C16" s="174"/>
      <c r="D16" s="170"/>
      <c r="E16" s="170"/>
      <c r="F16" s="170"/>
      <c r="G16" s="13" t="s">
        <v>37</v>
      </c>
      <c r="H16" s="14">
        <f>IF(H15&gt;0,H15,0)</f>
        <v>2853.3282300000001</v>
      </c>
      <c r="I16" s="14">
        <f>IF(I15&gt;0,I15+H16,0)</f>
        <v>5706.6564600000002</v>
      </c>
      <c r="J16" s="14">
        <f t="shared" ref="J16:O16" si="12">IF(J15&gt;0,J15+I16,0)</f>
        <v>0</v>
      </c>
      <c r="K16" s="14">
        <f t="shared" si="12"/>
        <v>0</v>
      </c>
      <c r="L16" s="14">
        <f t="shared" si="12"/>
        <v>0</v>
      </c>
      <c r="M16" s="14">
        <f t="shared" si="12"/>
        <v>0</v>
      </c>
      <c r="N16" s="14">
        <f t="shared" si="12"/>
        <v>0</v>
      </c>
      <c r="O16" s="14">
        <f t="shared" si="12"/>
        <v>0</v>
      </c>
    </row>
    <row r="17" spans="1:15" ht="15">
      <c r="A17" s="170">
        <v>5</v>
      </c>
      <c r="B17" s="172" t="str">
        <f>Orçamento!B33</f>
        <v>CONCRETO, MASSA E LASTRO</v>
      </c>
      <c r="C17" s="173">
        <f>Orçamento!J43</f>
        <v>18051.303673221191</v>
      </c>
      <c r="D17" s="169">
        <f>F17-E17+1</f>
        <v>5</v>
      </c>
      <c r="E17" s="171">
        <v>1</v>
      </c>
      <c r="F17" s="171">
        <v>5</v>
      </c>
      <c r="G17" s="13" t="s">
        <v>32</v>
      </c>
      <c r="H17" s="14">
        <f t="shared" ref="H17:O17" si="13">IF(IF(AND($E17&lt;=H$5,$F17&gt;=H$5)=TRUE,1,0)=1,$C17/$D17,0)</f>
        <v>3610.2607346442383</v>
      </c>
      <c r="I17" s="14">
        <f t="shared" si="13"/>
        <v>3610.2607346442383</v>
      </c>
      <c r="J17" s="14">
        <f t="shared" si="13"/>
        <v>3610.2607346442383</v>
      </c>
      <c r="K17" s="14">
        <f t="shared" si="13"/>
        <v>3610.2607346442383</v>
      </c>
      <c r="L17" s="14">
        <f t="shared" si="13"/>
        <v>3610.2607346442383</v>
      </c>
      <c r="M17" s="14">
        <f t="shared" si="13"/>
        <v>0</v>
      </c>
      <c r="N17" s="14">
        <f t="shared" si="13"/>
        <v>0</v>
      </c>
      <c r="O17" s="14">
        <f t="shared" si="13"/>
        <v>0</v>
      </c>
    </row>
    <row r="18" spans="1:15" ht="15">
      <c r="A18" s="170"/>
      <c r="B18" s="172"/>
      <c r="C18" s="174"/>
      <c r="D18" s="170"/>
      <c r="E18" s="170"/>
      <c r="F18" s="170"/>
      <c r="G18" s="13" t="s">
        <v>37</v>
      </c>
      <c r="H18" s="14">
        <f>IF(H17&gt;0,H17,0)</f>
        <v>3610.2607346442383</v>
      </c>
      <c r="I18" s="14">
        <f>IF(I17&gt;0,I17+H18,0)</f>
        <v>7220.5214692884765</v>
      </c>
      <c r="J18" s="14">
        <f t="shared" ref="J18:O18" si="14">IF(J17&gt;0,J17+I18,0)</f>
        <v>10830.782203932715</v>
      </c>
      <c r="K18" s="14">
        <f t="shared" si="14"/>
        <v>14441.042938576953</v>
      </c>
      <c r="L18" s="14">
        <f t="shared" si="14"/>
        <v>18051.303673221191</v>
      </c>
      <c r="M18" s="14">
        <f t="shared" si="14"/>
        <v>0</v>
      </c>
      <c r="N18" s="14">
        <f t="shared" si="14"/>
        <v>0</v>
      </c>
      <c r="O18" s="14">
        <f t="shared" si="14"/>
        <v>0</v>
      </c>
    </row>
    <row r="19" spans="1:15" ht="15">
      <c r="A19" s="170">
        <v>6</v>
      </c>
      <c r="B19" s="172" t="str">
        <f>Orçamento!B44</f>
        <v>DEMOLIÇÃO SEM REAPROVEITAMENTO</v>
      </c>
      <c r="C19" s="173">
        <f>Orçamento!J47</f>
        <v>231.50792250000001</v>
      </c>
      <c r="D19" s="169">
        <f t="shared" ref="D19" si="15">F19-E19+1</f>
        <v>1</v>
      </c>
      <c r="E19" s="171">
        <v>4</v>
      </c>
      <c r="F19" s="171">
        <v>4</v>
      </c>
      <c r="G19" s="13" t="s">
        <v>32</v>
      </c>
      <c r="H19" s="14">
        <f t="shared" ref="H19:O19" si="16">IF(IF(AND($E19&lt;=H$5,$F19&gt;=H$5)=TRUE,1,0)=1,$C19/$D19,0)</f>
        <v>0</v>
      </c>
      <c r="I19" s="14">
        <f t="shared" si="16"/>
        <v>0</v>
      </c>
      <c r="J19" s="14">
        <f t="shared" si="16"/>
        <v>0</v>
      </c>
      <c r="K19" s="14">
        <f t="shared" si="16"/>
        <v>231.50792250000001</v>
      </c>
      <c r="L19" s="14">
        <f t="shared" si="16"/>
        <v>0</v>
      </c>
      <c r="M19" s="14">
        <f t="shared" si="16"/>
        <v>0</v>
      </c>
      <c r="N19" s="14">
        <f t="shared" si="16"/>
        <v>0</v>
      </c>
      <c r="O19" s="14">
        <f t="shared" si="16"/>
        <v>0</v>
      </c>
    </row>
    <row r="20" spans="1:15" ht="15">
      <c r="A20" s="170"/>
      <c r="B20" s="172"/>
      <c r="C20" s="174"/>
      <c r="D20" s="170"/>
      <c r="E20" s="170"/>
      <c r="F20" s="170"/>
      <c r="G20" s="13" t="s">
        <v>37</v>
      </c>
      <c r="H20" s="14">
        <f>IF(H19&gt;0,H19,0)</f>
        <v>0</v>
      </c>
      <c r="I20" s="14">
        <f>IF(I19&gt;0,I19+H20,0)</f>
        <v>0</v>
      </c>
      <c r="J20" s="14">
        <f t="shared" ref="J20:O20" si="17">IF(J19&gt;0,J19+I20,0)</f>
        <v>0</v>
      </c>
      <c r="K20" s="14">
        <f t="shared" si="17"/>
        <v>231.50792250000001</v>
      </c>
      <c r="L20" s="14">
        <f t="shared" si="17"/>
        <v>0</v>
      </c>
      <c r="M20" s="14">
        <f t="shared" si="17"/>
        <v>0</v>
      </c>
      <c r="N20" s="14">
        <f t="shared" si="17"/>
        <v>0</v>
      </c>
      <c r="O20" s="14">
        <f t="shared" si="17"/>
        <v>0</v>
      </c>
    </row>
    <row r="21" spans="1:15" ht="15">
      <c r="A21" s="170">
        <v>7</v>
      </c>
      <c r="B21" s="172" t="str">
        <f>Orçamento!B48</f>
        <v>ALVENARIA E ELEMENTO DIVISOR</v>
      </c>
      <c r="C21" s="173">
        <f>Orçamento!J51</f>
        <v>13818.893211000001</v>
      </c>
      <c r="D21" s="169">
        <f t="shared" ref="D21" si="18">F21-E21+1</f>
        <v>2</v>
      </c>
      <c r="E21" s="171">
        <v>3</v>
      </c>
      <c r="F21" s="171">
        <v>4</v>
      </c>
      <c r="G21" s="13" t="s">
        <v>32</v>
      </c>
      <c r="H21" s="14">
        <f t="shared" ref="H21:O85" si="19">IF(IF(AND($E21&lt;=H$5,$F21&gt;=H$5)=TRUE,1,0)=1,$C21/$D21,0)</f>
        <v>0</v>
      </c>
      <c r="I21" s="14">
        <f t="shared" si="19"/>
        <v>0</v>
      </c>
      <c r="J21" s="14">
        <f t="shared" si="19"/>
        <v>6909.4466055000003</v>
      </c>
      <c r="K21" s="14">
        <f t="shared" si="19"/>
        <v>6909.4466055000003</v>
      </c>
      <c r="L21" s="14">
        <f t="shared" si="19"/>
        <v>0</v>
      </c>
      <c r="M21" s="14">
        <f t="shared" si="19"/>
        <v>0</v>
      </c>
      <c r="N21" s="14">
        <f t="shared" si="19"/>
        <v>0</v>
      </c>
      <c r="O21" s="14">
        <f t="shared" si="19"/>
        <v>0</v>
      </c>
    </row>
    <row r="22" spans="1:15" ht="15">
      <c r="A22" s="170"/>
      <c r="B22" s="172"/>
      <c r="C22" s="174"/>
      <c r="D22" s="170"/>
      <c r="E22" s="170"/>
      <c r="F22" s="170"/>
      <c r="G22" s="13" t="s">
        <v>37</v>
      </c>
      <c r="H22" s="14">
        <f>IF(H21&gt;0,H21,0)</f>
        <v>0</v>
      </c>
      <c r="I22" s="14">
        <f>IF(I21&gt;0,I21+H22,0)</f>
        <v>0</v>
      </c>
      <c r="J22" s="14">
        <f t="shared" ref="J22:O22" si="20">IF(J21&gt;0,J21+I22,0)</f>
        <v>6909.4466055000003</v>
      </c>
      <c r="K22" s="14">
        <f t="shared" si="20"/>
        <v>13818.893211000001</v>
      </c>
      <c r="L22" s="14">
        <f t="shared" si="20"/>
        <v>0</v>
      </c>
      <c r="M22" s="14">
        <f t="shared" si="20"/>
        <v>0</v>
      </c>
      <c r="N22" s="14">
        <f t="shared" si="20"/>
        <v>0</v>
      </c>
      <c r="O22" s="14">
        <f t="shared" si="20"/>
        <v>0</v>
      </c>
    </row>
    <row r="23" spans="1:15" ht="15">
      <c r="A23" s="170">
        <v>8</v>
      </c>
      <c r="B23" s="172" t="str">
        <f>Orçamento!B52</f>
        <v>LAJE E PAINEL DE FECHAMENTO PRÉ-FABRICADOS</v>
      </c>
      <c r="C23" s="173">
        <f>Orçamento!J55</f>
        <v>10156.605676499999</v>
      </c>
      <c r="D23" s="169">
        <f t="shared" ref="D23" si="21">F23-E23+1</f>
        <v>2</v>
      </c>
      <c r="E23" s="171">
        <v>4</v>
      </c>
      <c r="F23" s="171">
        <v>5</v>
      </c>
      <c r="G23" s="13" t="s">
        <v>32</v>
      </c>
      <c r="H23" s="14">
        <f t="shared" si="19"/>
        <v>0</v>
      </c>
      <c r="I23" s="14">
        <f t="shared" si="19"/>
        <v>0</v>
      </c>
      <c r="J23" s="14">
        <f t="shared" si="19"/>
        <v>0</v>
      </c>
      <c r="K23" s="14">
        <f t="shared" si="19"/>
        <v>5078.3028382499997</v>
      </c>
      <c r="L23" s="14">
        <f t="shared" si="19"/>
        <v>5078.3028382499997</v>
      </c>
      <c r="M23" s="14">
        <f t="shared" si="19"/>
        <v>0</v>
      </c>
      <c r="N23" s="14">
        <f t="shared" si="19"/>
        <v>0</v>
      </c>
      <c r="O23" s="14">
        <f t="shared" si="19"/>
        <v>0</v>
      </c>
    </row>
    <row r="24" spans="1:15" ht="15">
      <c r="A24" s="170"/>
      <c r="B24" s="172"/>
      <c r="C24" s="174"/>
      <c r="D24" s="170"/>
      <c r="E24" s="170"/>
      <c r="F24" s="170"/>
      <c r="G24" s="13" t="s">
        <v>37</v>
      </c>
      <c r="H24" s="14">
        <f>IF(H23&gt;0,H23,0)</f>
        <v>0</v>
      </c>
      <c r="I24" s="14">
        <f>IF(I23&gt;0,I23+H24,0)</f>
        <v>0</v>
      </c>
      <c r="J24" s="14">
        <f t="shared" ref="J24" si="22">IF(J23&gt;0,J23+I24,0)</f>
        <v>0</v>
      </c>
      <c r="K24" s="14">
        <f t="shared" ref="K24" si="23">IF(K23&gt;0,K23+J24,0)</f>
        <v>5078.3028382499997</v>
      </c>
      <c r="L24" s="14">
        <f t="shared" ref="L24" si="24">IF(L23&gt;0,L23+K24,0)</f>
        <v>10156.605676499999</v>
      </c>
      <c r="M24" s="14">
        <f t="shared" ref="M24" si="25">IF(M23&gt;0,M23+L24,0)</f>
        <v>0</v>
      </c>
      <c r="N24" s="14">
        <f t="shared" ref="N24" si="26">IF(N23&gt;0,N23+M24,0)</f>
        <v>0</v>
      </c>
      <c r="O24" s="14">
        <f t="shared" ref="O24" si="27">IF(O23&gt;0,O23+N24,0)</f>
        <v>0</v>
      </c>
    </row>
    <row r="25" spans="1:15" ht="15">
      <c r="A25" s="170">
        <v>9</v>
      </c>
      <c r="B25" s="172" t="str">
        <f>Orçamento!B56</f>
        <v>ESTRUTURA EM MADEIRA, FERRO, ALUMÍNIO E CONCRETO</v>
      </c>
      <c r="C25" s="173">
        <f>Orçamento!J59</f>
        <v>17857.303520000001</v>
      </c>
      <c r="D25" s="169">
        <f t="shared" ref="D25" si="28">F25-E25+1</f>
        <v>2</v>
      </c>
      <c r="E25" s="171">
        <v>5</v>
      </c>
      <c r="F25" s="171">
        <v>6</v>
      </c>
      <c r="G25" s="13" t="s">
        <v>32</v>
      </c>
      <c r="H25" s="14">
        <f t="shared" si="19"/>
        <v>0</v>
      </c>
      <c r="I25" s="14">
        <f t="shared" si="19"/>
        <v>0</v>
      </c>
      <c r="J25" s="14">
        <f t="shared" si="19"/>
        <v>0</v>
      </c>
      <c r="K25" s="14">
        <f t="shared" si="19"/>
        <v>0</v>
      </c>
      <c r="L25" s="14">
        <f t="shared" si="19"/>
        <v>8928.6517600000006</v>
      </c>
      <c r="M25" s="14">
        <f t="shared" si="19"/>
        <v>8928.6517600000006</v>
      </c>
      <c r="N25" s="14">
        <f t="shared" si="19"/>
        <v>0</v>
      </c>
      <c r="O25" s="14">
        <f t="shared" si="19"/>
        <v>0</v>
      </c>
    </row>
    <row r="26" spans="1:15" ht="15">
      <c r="A26" s="170"/>
      <c r="B26" s="172"/>
      <c r="C26" s="174"/>
      <c r="D26" s="170"/>
      <c r="E26" s="170"/>
      <c r="F26" s="170"/>
      <c r="G26" s="13" t="s">
        <v>37</v>
      </c>
      <c r="H26" s="14">
        <f>IF(H25&gt;0,H25,0)</f>
        <v>0</v>
      </c>
      <c r="I26" s="14">
        <f>IF(I25&gt;0,I25+H26,0)</f>
        <v>0</v>
      </c>
      <c r="J26" s="14">
        <f t="shared" ref="J26" si="29">IF(J25&gt;0,J25+I26,0)</f>
        <v>0</v>
      </c>
      <c r="K26" s="14">
        <f t="shared" ref="K26" si="30">IF(K25&gt;0,K25+J26,0)</f>
        <v>0</v>
      </c>
      <c r="L26" s="14">
        <f t="shared" ref="L26" si="31">IF(L25&gt;0,L25+K26,0)</f>
        <v>8928.6517600000006</v>
      </c>
      <c r="M26" s="14">
        <f t="shared" ref="M26" si="32">IF(M25&gt;0,M25+L26,0)</f>
        <v>17857.303520000001</v>
      </c>
      <c r="N26" s="14">
        <f t="shared" ref="N26" si="33">IF(N25&gt;0,N25+M26,0)</f>
        <v>0</v>
      </c>
      <c r="O26" s="14">
        <f t="shared" ref="O26" si="34">IF(O25&gt;0,O25+N26,0)</f>
        <v>0</v>
      </c>
    </row>
    <row r="27" spans="1:15" ht="15">
      <c r="A27" s="170">
        <v>10</v>
      </c>
      <c r="B27" s="172" t="str">
        <f>Orçamento!B60</f>
        <v>TELHAMENTO</v>
      </c>
      <c r="C27" s="173">
        <f>Orçamento!J65</f>
        <v>11859.057100000002</v>
      </c>
      <c r="D27" s="169">
        <f t="shared" ref="D27" si="35">F27-E27+1</f>
        <v>1</v>
      </c>
      <c r="E27" s="171">
        <v>6</v>
      </c>
      <c r="F27" s="171">
        <v>6</v>
      </c>
      <c r="G27" s="13" t="s">
        <v>32</v>
      </c>
      <c r="H27" s="14">
        <f t="shared" si="19"/>
        <v>0</v>
      </c>
      <c r="I27" s="14">
        <f t="shared" si="19"/>
        <v>0</v>
      </c>
      <c r="J27" s="14">
        <f t="shared" si="19"/>
        <v>0</v>
      </c>
      <c r="K27" s="14">
        <f t="shared" si="19"/>
        <v>0</v>
      </c>
      <c r="L27" s="14">
        <f t="shared" si="19"/>
        <v>0</v>
      </c>
      <c r="M27" s="14">
        <f t="shared" si="19"/>
        <v>11859.057100000002</v>
      </c>
      <c r="N27" s="14">
        <f t="shared" si="19"/>
        <v>0</v>
      </c>
      <c r="O27" s="14">
        <f t="shared" si="19"/>
        <v>0</v>
      </c>
    </row>
    <row r="28" spans="1:15" ht="15">
      <c r="A28" s="170"/>
      <c r="B28" s="172"/>
      <c r="C28" s="174"/>
      <c r="D28" s="170"/>
      <c r="E28" s="170"/>
      <c r="F28" s="170"/>
      <c r="G28" s="13" t="s">
        <v>37</v>
      </c>
      <c r="H28" s="14">
        <f>IF(H27&gt;0,H27,0)</f>
        <v>0</v>
      </c>
      <c r="I28" s="14">
        <f>IF(I27&gt;0,I27+H28,0)</f>
        <v>0</v>
      </c>
      <c r="J28" s="14">
        <f t="shared" ref="J28" si="36">IF(J27&gt;0,J27+I28,0)</f>
        <v>0</v>
      </c>
      <c r="K28" s="14">
        <f t="shared" ref="K28" si="37">IF(K27&gt;0,K27+J28,0)</f>
        <v>0</v>
      </c>
      <c r="L28" s="14">
        <f t="shared" ref="L28" si="38">IF(L27&gt;0,L27+K28,0)</f>
        <v>0</v>
      </c>
      <c r="M28" s="14">
        <f t="shared" ref="M28" si="39">IF(M27&gt;0,M27+L28,0)</f>
        <v>11859.057100000002</v>
      </c>
      <c r="N28" s="14">
        <f t="shared" ref="N28" si="40">IF(N27&gt;0,N27+M28,0)</f>
        <v>0</v>
      </c>
      <c r="O28" s="14">
        <f t="shared" ref="O28" si="41">IF(O27&gt;0,O27+N28,0)</f>
        <v>0</v>
      </c>
    </row>
    <row r="29" spans="1:15" ht="15">
      <c r="A29" s="170">
        <v>12</v>
      </c>
      <c r="B29" s="172" t="str">
        <f>Orçamento!B66</f>
        <v>REVESTIMENTO EM MASSA OU FUNDIDO NO LOCAL</v>
      </c>
      <c r="C29" s="173">
        <f>Orçamento!J70</f>
        <v>8681.3870388899995</v>
      </c>
      <c r="D29" s="169">
        <f t="shared" ref="D29" si="42">F29-E29+1</f>
        <v>2</v>
      </c>
      <c r="E29" s="171">
        <v>5</v>
      </c>
      <c r="F29" s="171">
        <v>6</v>
      </c>
      <c r="G29" s="13" t="s">
        <v>32</v>
      </c>
      <c r="H29" s="14">
        <f t="shared" si="19"/>
        <v>0</v>
      </c>
      <c r="I29" s="14">
        <f t="shared" si="19"/>
        <v>0</v>
      </c>
      <c r="J29" s="14">
        <f t="shared" si="19"/>
        <v>0</v>
      </c>
      <c r="K29" s="14">
        <f t="shared" si="19"/>
        <v>0</v>
      </c>
      <c r="L29" s="14">
        <f t="shared" si="19"/>
        <v>4340.6935194449998</v>
      </c>
      <c r="M29" s="14">
        <f t="shared" si="19"/>
        <v>4340.6935194449998</v>
      </c>
      <c r="N29" s="14">
        <f t="shared" si="19"/>
        <v>0</v>
      </c>
      <c r="O29" s="14">
        <f t="shared" si="19"/>
        <v>0</v>
      </c>
    </row>
    <row r="30" spans="1:15" ht="15">
      <c r="A30" s="170"/>
      <c r="B30" s="172"/>
      <c r="C30" s="174"/>
      <c r="D30" s="170"/>
      <c r="E30" s="170"/>
      <c r="F30" s="170"/>
      <c r="G30" s="13" t="s">
        <v>37</v>
      </c>
      <c r="H30" s="14">
        <f>IF(H29&gt;0,H29,0)</f>
        <v>0</v>
      </c>
      <c r="I30" s="14">
        <f>IF(I29&gt;0,I29+H30,0)</f>
        <v>0</v>
      </c>
      <c r="J30" s="14">
        <f t="shared" ref="J30" si="43">IF(J29&gt;0,J29+I30,0)</f>
        <v>0</v>
      </c>
      <c r="K30" s="14">
        <f t="shared" ref="K30" si="44">IF(K29&gt;0,K29+J30,0)</f>
        <v>0</v>
      </c>
      <c r="L30" s="14">
        <f t="shared" ref="L30" si="45">IF(L29&gt;0,L29+K30,0)</f>
        <v>4340.6935194449998</v>
      </c>
      <c r="M30" s="14">
        <f t="shared" ref="M30" si="46">IF(M29&gt;0,M29+L30,0)</f>
        <v>8681.3870388899995</v>
      </c>
      <c r="N30" s="14">
        <f t="shared" ref="N30" si="47">IF(N29&gt;0,N29+M30,0)</f>
        <v>0</v>
      </c>
      <c r="O30" s="14">
        <f t="shared" ref="O30" si="48">IF(O29&gt;0,O29+N30,0)</f>
        <v>0</v>
      </c>
    </row>
    <row r="31" spans="1:15" ht="15">
      <c r="A31" s="170">
        <v>13</v>
      </c>
      <c r="B31" s="172" t="str">
        <f>Orçamento!B71</f>
        <v>REVESTIMENTO CERÂMICO</v>
      </c>
      <c r="C31" s="173">
        <f>Orçamento!J77</f>
        <v>10074.092356039999</v>
      </c>
      <c r="D31" s="169">
        <f t="shared" ref="D31" si="49">F31-E31+1</f>
        <v>1</v>
      </c>
      <c r="E31" s="171">
        <v>6</v>
      </c>
      <c r="F31" s="171">
        <v>6</v>
      </c>
      <c r="G31" s="13" t="s">
        <v>32</v>
      </c>
      <c r="H31" s="14">
        <f t="shared" si="19"/>
        <v>0</v>
      </c>
      <c r="I31" s="14">
        <f t="shared" si="19"/>
        <v>0</v>
      </c>
      <c r="J31" s="14">
        <f t="shared" si="19"/>
        <v>0</v>
      </c>
      <c r="K31" s="14">
        <f t="shared" si="19"/>
        <v>0</v>
      </c>
      <c r="L31" s="14">
        <f t="shared" si="19"/>
        <v>0</v>
      </c>
      <c r="M31" s="14">
        <f t="shared" si="19"/>
        <v>10074.092356039999</v>
      </c>
      <c r="N31" s="14">
        <f t="shared" si="19"/>
        <v>0</v>
      </c>
      <c r="O31" s="14">
        <f t="shared" si="19"/>
        <v>0</v>
      </c>
    </row>
    <row r="32" spans="1:15" ht="15">
      <c r="A32" s="170"/>
      <c r="B32" s="172"/>
      <c r="C32" s="174"/>
      <c r="D32" s="170"/>
      <c r="E32" s="170"/>
      <c r="F32" s="170"/>
      <c r="G32" s="13" t="s">
        <v>37</v>
      </c>
      <c r="H32" s="14">
        <f>IF(H31&gt;0,H31,0)</f>
        <v>0</v>
      </c>
      <c r="I32" s="14">
        <f>IF(I31&gt;0,I31+H32,0)</f>
        <v>0</v>
      </c>
      <c r="J32" s="14">
        <f t="shared" ref="J32" si="50">IF(J31&gt;0,J31+I32,0)</f>
        <v>0</v>
      </c>
      <c r="K32" s="14">
        <f t="shared" ref="K32" si="51">IF(K31&gt;0,K31+J32,0)</f>
        <v>0</v>
      </c>
      <c r="L32" s="14">
        <f t="shared" ref="L32" si="52">IF(L31&gt;0,L31+K32,0)</f>
        <v>0</v>
      </c>
      <c r="M32" s="14">
        <f t="shared" ref="M32" si="53">IF(M31&gt;0,M31+L32,0)</f>
        <v>10074.092356039999</v>
      </c>
      <c r="N32" s="14">
        <f t="shared" ref="N32" si="54">IF(N31&gt;0,N31+M32,0)</f>
        <v>0</v>
      </c>
      <c r="O32" s="14">
        <f t="shared" ref="O32" si="55">IF(O31&gt;0,O31+N32,0)</f>
        <v>0</v>
      </c>
    </row>
    <row r="33" spans="1:15" ht="15">
      <c r="A33" s="170">
        <v>14</v>
      </c>
      <c r="B33" s="172" t="str">
        <f>Orçamento!B78</f>
        <v>REVESTIMENTO EM PEDRA</v>
      </c>
      <c r="C33" s="173">
        <f>Orçamento!J81</f>
        <v>967.31158400000004</v>
      </c>
      <c r="D33" s="169">
        <f t="shared" ref="D33" si="56">F33-E33+1</f>
        <v>1</v>
      </c>
      <c r="E33" s="171">
        <v>6</v>
      </c>
      <c r="F33" s="171">
        <v>6</v>
      </c>
      <c r="G33" s="13" t="s">
        <v>32</v>
      </c>
      <c r="H33" s="14">
        <f t="shared" si="19"/>
        <v>0</v>
      </c>
      <c r="I33" s="14">
        <f t="shared" si="19"/>
        <v>0</v>
      </c>
      <c r="J33" s="14">
        <f t="shared" si="19"/>
        <v>0</v>
      </c>
      <c r="K33" s="14">
        <f t="shared" si="19"/>
        <v>0</v>
      </c>
      <c r="L33" s="14">
        <f t="shared" si="19"/>
        <v>0</v>
      </c>
      <c r="M33" s="14">
        <f t="shared" si="19"/>
        <v>967.31158400000004</v>
      </c>
      <c r="N33" s="14">
        <f t="shared" si="19"/>
        <v>0</v>
      </c>
      <c r="O33" s="14">
        <f t="shared" si="19"/>
        <v>0</v>
      </c>
    </row>
    <row r="34" spans="1:15" ht="15">
      <c r="A34" s="170"/>
      <c r="B34" s="172"/>
      <c r="C34" s="174"/>
      <c r="D34" s="170"/>
      <c r="E34" s="170"/>
      <c r="F34" s="170"/>
      <c r="G34" s="13" t="s">
        <v>37</v>
      </c>
      <c r="H34" s="14">
        <f>IF(H33&gt;0,H33,0)</f>
        <v>0</v>
      </c>
      <c r="I34" s="14">
        <f>IF(I33&gt;0,I33+H34,0)</f>
        <v>0</v>
      </c>
      <c r="J34" s="14">
        <f t="shared" ref="J34" si="57">IF(J33&gt;0,J33+I34,0)</f>
        <v>0</v>
      </c>
      <c r="K34" s="14">
        <f t="shared" ref="K34" si="58">IF(K33&gt;0,K33+J34,0)</f>
        <v>0</v>
      </c>
      <c r="L34" s="14">
        <f t="shared" ref="L34" si="59">IF(L33&gt;0,L33+K34,0)</f>
        <v>0</v>
      </c>
      <c r="M34" s="14">
        <f t="shared" ref="M34" si="60">IF(M33&gt;0,M33+L34,0)</f>
        <v>967.31158400000004</v>
      </c>
      <c r="N34" s="14">
        <f t="shared" ref="N34" si="61">IF(N33&gt;0,N33+M34,0)</f>
        <v>0</v>
      </c>
      <c r="O34" s="14">
        <f t="shared" ref="O34" si="62">IF(O33&gt;0,O33+N34,0)</f>
        <v>0</v>
      </c>
    </row>
    <row r="35" spans="1:15" ht="15">
      <c r="A35" s="170">
        <v>15</v>
      </c>
      <c r="B35" s="172" t="str">
        <f>Orçamento!B82</f>
        <v>FORRO, BRISE E FACHADA</v>
      </c>
      <c r="C35" s="173">
        <f>Orçamento!J85</f>
        <v>942.96529750000002</v>
      </c>
      <c r="D35" s="169">
        <f t="shared" ref="D35" si="63">F35-E35+1</f>
        <v>1</v>
      </c>
      <c r="E35" s="171">
        <v>5</v>
      </c>
      <c r="F35" s="171">
        <v>5</v>
      </c>
      <c r="G35" s="13" t="s">
        <v>32</v>
      </c>
      <c r="H35" s="14">
        <f t="shared" ref="H35:N35" si="64">IF(IF(AND($E35&lt;=H$5,$F35&gt;=H$5)=TRUE,1,0)=1,$C35/$D35,0)</f>
        <v>0</v>
      </c>
      <c r="I35" s="14">
        <f t="shared" si="64"/>
        <v>0</v>
      </c>
      <c r="J35" s="14">
        <f t="shared" si="64"/>
        <v>0</v>
      </c>
      <c r="K35" s="14">
        <f t="shared" si="64"/>
        <v>0</v>
      </c>
      <c r="L35" s="14">
        <f t="shared" si="64"/>
        <v>942.96529750000002</v>
      </c>
      <c r="M35" s="14">
        <f t="shared" si="64"/>
        <v>0</v>
      </c>
      <c r="N35" s="14">
        <f t="shared" si="64"/>
        <v>0</v>
      </c>
      <c r="O35" s="14"/>
    </row>
    <row r="36" spans="1:15" ht="15">
      <c r="A36" s="170"/>
      <c r="B36" s="172"/>
      <c r="C36" s="174"/>
      <c r="D36" s="170"/>
      <c r="E36" s="170"/>
      <c r="F36" s="170"/>
      <c r="G36" s="13" t="s">
        <v>37</v>
      </c>
      <c r="H36" s="14">
        <f>IF(H35&gt;0,H35,0)</f>
        <v>0</v>
      </c>
      <c r="I36" s="14">
        <f>IF(I35&gt;0,I35+H36,0)</f>
        <v>0</v>
      </c>
      <c r="J36" s="14">
        <f t="shared" ref="J36" si="65">IF(J35&gt;0,J35+I36,0)</f>
        <v>0</v>
      </c>
      <c r="K36" s="14">
        <f t="shared" ref="K36" si="66">IF(K35&gt;0,K35+J36,0)</f>
        <v>0</v>
      </c>
      <c r="L36" s="14">
        <f t="shared" ref="L36" si="67">IF(L35&gt;0,L35+K36,0)</f>
        <v>942.96529750000002</v>
      </c>
      <c r="M36" s="14">
        <f t="shared" ref="M36" si="68">IF(M35&gt;0,M35+L36,0)</f>
        <v>0</v>
      </c>
      <c r="N36" s="14">
        <f t="shared" ref="N36" si="69">IF(N35&gt;0,N35+M36,0)</f>
        <v>0</v>
      </c>
      <c r="O36" s="14"/>
    </row>
    <row r="37" spans="1:15" ht="15">
      <c r="A37" s="170">
        <v>15</v>
      </c>
      <c r="B37" s="172" t="str">
        <f>Orçamento!B86</f>
        <v>ESQUADRIA, MARCENARIA E ELEMENTO EM MADEIRA</v>
      </c>
      <c r="C37" s="173">
        <f>Orçamento!J89</f>
        <v>4238.5034700000006</v>
      </c>
      <c r="D37" s="169">
        <f t="shared" ref="D37" si="70">F37-E37+1</f>
        <v>1</v>
      </c>
      <c r="E37" s="171">
        <v>6</v>
      </c>
      <c r="F37" s="171">
        <v>6</v>
      </c>
      <c r="G37" s="13" t="s">
        <v>32</v>
      </c>
      <c r="H37" s="14">
        <f t="shared" si="19"/>
        <v>0</v>
      </c>
      <c r="I37" s="14">
        <f t="shared" si="19"/>
        <v>0</v>
      </c>
      <c r="J37" s="14">
        <f t="shared" si="19"/>
        <v>0</v>
      </c>
      <c r="K37" s="14">
        <f t="shared" si="19"/>
        <v>0</v>
      </c>
      <c r="L37" s="14">
        <f t="shared" si="19"/>
        <v>0</v>
      </c>
      <c r="M37" s="14">
        <f t="shared" si="19"/>
        <v>4238.5034700000006</v>
      </c>
      <c r="N37" s="14">
        <f t="shared" si="19"/>
        <v>0</v>
      </c>
      <c r="O37" s="14">
        <f t="shared" si="19"/>
        <v>0</v>
      </c>
    </row>
    <row r="38" spans="1:15" ht="15">
      <c r="A38" s="170"/>
      <c r="B38" s="172"/>
      <c r="C38" s="174"/>
      <c r="D38" s="170"/>
      <c r="E38" s="170"/>
      <c r="F38" s="170"/>
      <c r="G38" s="13" t="s">
        <v>37</v>
      </c>
      <c r="H38" s="14">
        <f>IF(H37&gt;0,H37,0)</f>
        <v>0</v>
      </c>
      <c r="I38" s="14">
        <f>IF(I37&gt;0,I37+H38,0)</f>
        <v>0</v>
      </c>
      <c r="J38" s="14">
        <f t="shared" ref="J38" si="71">IF(J37&gt;0,J37+I38,0)</f>
        <v>0</v>
      </c>
      <c r="K38" s="14">
        <f t="shared" ref="K38" si="72">IF(K37&gt;0,K37+J38,0)</f>
        <v>0</v>
      </c>
      <c r="L38" s="14">
        <f t="shared" ref="L38" si="73">IF(L37&gt;0,L37+K38,0)</f>
        <v>0</v>
      </c>
      <c r="M38" s="14">
        <f t="shared" ref="M38" si="74">IF(M37&gt;0,M37+L38,0)</f>
        <v>4238.5034700000006</v>
      </c>
      <c r="N38" s="14">
        <f t="shared" ref="N38" si="75">IF(N37&gt;0,N37+M38,0)</f>
        <v>0</v>
      </c>
      <c r="O38" s="14">
        <f t="shared" ref="O38" si="76">IF(O37&gt;0,O37+N38,0)</f>
        <v>0</v>
      </c>
    </row>
    <row r="39" spans="1:15" ht="15">
      <c r="A39" s="170">
        <v>16</v>
      </c>
      <c r="B39" s="172" t="str">
        <f>Orçamento!B90</f>
        <v>ESQUADRIA, SERRALHERIA E ELEMENTO EM FERRO</v>
      </c>
      <c r="C39" s="173">
        <f>Orçamento!J96</f>
        <v>6546.2560670000021</v>
      </c>
      <c r="D39" s="169">
        <f t="shared" ref="D39" si="77">F39-E39+1</f>
        <v>1</v>
      </c>
      <c r="E39" s="171">
        <v>6</v>
      </c>
      <c r="F39" s="171">
        <v>6</v>
      </c>
      <c r="G39" s="13" t="s">
        <v>32</v>
      </c>
      <c r="H39" s="14">
        <f t="shared" si="19"/>
        <v>0</v>
      </c>
      <c r="I39" s="14">
        <f t="shared" si="19"/>
        <v>0</v>
      </c>
      <c r="J39" s="14">
        <f t="shared" si="19"/>
        <v>0</v>
      </c>
      <c r="K39" s="14">
        <f t="shared" si="19"/>
        <v>0</v>
      </c>
      <c r="L39" s="14">
        <f t="shared" si="19"/>
        <v>0</v>
      </c>
      <c r="M39" s="14">
        <f t="shared" si="19"/>
        <v>6546.2560670000021</v>
      </c>
      <c r="N39" s="14">
        <f t="shared" si="19"/>
        <v>0</v>
      </c>
      <c r="O39" s="14">
        <f t="shared" si="19"/>
        <v>0</v>
      </c>
    </row>
    <row r="40" spans="1:15" ht="15">
      <c r="A40" s="170"/>
      <c r="B40" s="172"/>
      <c r="C40" s="174"/>
      <c r="D40" s="170"/>
      <c r="E40" s="170"/>
      <c r="F40" s="170"/>
      <c r="G40" s="13" t="s">
        <v>37</v>
      </c>
      <c r="H40" s="14">
        <f>IF(H39&gt;0,H39,0)</f>
        <v>0</v>
      </c>
      <c r="I40" s="14">
        <f>IF(I39&gt;0,I39+H40,0)</f>
        <v>0</v>
      </c>
      <c r="J40" s="14">
        <f t="shared" ref="J40" si="78">IF(J39&gt;0,J39+I40,0)</f>
        <v>0</v>
      </c>
      <c r="K40" s="14">
        <f t="shared" ref="K40" si="79">IF(K39&gt;0,K39+J40,0)</f>
        <v>0</v>
      </c>
      <c r="L40" s="14">
        <f t="shared" ref="L40" si="80">IF(L39&gt;0,L39+K40,0)</f>
        <v>0</v>
      </c>
      <c r="M40" s="14">
        <f t="shared" ref="M40" si="81">IF(M39&gt;0,M39+L40,0)</f>
        <v>6546.2560670000021</v>
      </c>
      <c r="N40" s="14">
        <f t="shared" ref="N40" si="82">IF(N39&gt;0,N39+M40,0)</f>
        <v>0</v>
      </c>
      <c r="O40" s="14">
        <f t="shared" ref="O40" si="83">IF(O39&gt;0,O39+N40,0)</f>
        <v>0</v>
      </c>
    </row>
    <row r="41" spans="1:15" ht="15">
      <c r="A41" s="170">
        <v>17</v>
      </c>
      <c r="B41" s="172" t="str">
        <f>Orçamento!B97</f>
        <v>ESQUADRIA E ELEMENTO EM VIDRO</v>
      </c>
      <c r="C41" s="173">
        <f>Orçamento!J102</f>
        <v>1680.2908324000002</v>
      </c>
      <c r="D41" s="169">
        <f t="shared" ref="D41" si="84">F41-E41+1</f>
        <v>1</v>
      </c>
      <c r="E41" s="171">
        <v>6</v>
      </c>
      <c r="F41" s="171">
        <v>6</v>
      </c>
      <c r="G41" s="13" t="s">
        <v>32</v>
      </c>
      <c r="H41" s="14">
        <f t="shared" si="19"/>
        <v>0</v>
      </c>
      <c r="I41" s="14">
        <f t="shared" si="19"/>
        <v>0</v>
      </c>
      <c r="J41" s="14">
        <f t="shared" si="19"/>
        <v>0</v>
      </c>
      <c r="K41" s="14">
        <f t="shared" si="19"/>
        <v>0</v>
      </c>
      <c r="L41" s="14">
        <f t="shared" si="19"/>
        <v>0</v>
      </c>
      <c r="M41" s="14">
        <f t="shared" si="19"/>
        <v>1680.2908324000002</v>
      </c>
      <c r="N41" s="14">
        <f t="shared" si="19"/>
        <v>0</v>
      </c>
      <c r="O41" s="14">
        <f t="shared" si="19"/>
        <v>0</v>
      </c>
    </row>
    <row r="42" spans="1:15" ht="15">
      <c r="A42" s="170"/>
      <c r="B42" s="172"/>
      <c r="C42" s="174"/>
      <c r="D42" s="170"/>
      <c r="E42" s="170"/>
      <c r="F42" s="170"/>
      <c r="G42" s="13" t="s">
        <v>37</v>
      </c>
      <c r="H42" s="14">
        <f>IF(H41&gt;0,H41,0)</f>
        <v>0</v>
      </c>
      <c r="I42" s="14">
        <f>IF(I41&gt;0,I41+H42,0)</f>
        <v>0</v>
      </c>
      <c r="J42" s="14">
        <f t="shared" ref="J42" si="85">IF(J41&gt;0,J41+I42,0)</f>
        <v>0</v>
      </c>
      <c r="K42" s="14">
        <f t="shared" ref="K42" si="86">IF(K41&gt;0,K41+J42,0)</f>
        <v>0</v>
      </c>
      <c r="L42" s="14">
        <f t="shared" ref="L42" si="87">IF(L41&gt;0,L41+K42,0)</f>
        <v>0</v>
      </c>
      <c r="M42" s="14">
        <f t="shared" ref="M42" si="88">IF(M41&gt;0,M41+L42,0)</f>
        <v>1680.2908324000002</v>
      </c>
      <c r="N42" s="14">
        <f t="shared" ref="N42" si="89">IF(N41&gt;0,N41+M42,0)</f>
        <v>0</v>
      </c>
      <c r="O42" s="14">
        <f t="shared" ref="O42" si="90">IF(O41&gt;0,O41+N42,0)</f>
        <v>0</v>
      </c>
    </row>
    <row r="43" spans="1:15" ht="15">
      <c r="A43" s="170">
        <v>18</v>
      </c>
      <c r="B43" s="172" t="str">
        <f>Orçamento!B103</f>
        <v>ESQUADRIA E ELEMENTO EM MATERIAL ESPECIAL</v>
      </c>
      <c r="C43" s="173">
        <f>Orçamento!J106</f>
        <v>8913.3592680000002</v>
      </c>
      <c r="D43" s="169">
        <f t="shared" ref="D43" si="91">F43-E43+1</f>
        <v>2</v>
      </c>
      <c r="E43" s="171">
        <v>6</v>
      </c>
      <c r="F43" s="171">
        <v>7</v>
      </c>
      <c r="G43" s="13" t="s">
        <v>32</v>
      </c>
      <c r="H43" s="14">
        <f t="shared" si="19"/>
        <v>0</v>
      </c>
      <c r="I43" s="14">
        <f t="shared" si="19"/>
        <v>0</v>
      </c>
      <c r="J43" s="14">
        <f t="shared" si="19"/>
        <v>0</v>
      </c>
      <c r="K43" s="14">
        <f t="shared" si="19"/>
        <v>0</v>
      </c>
      <c r="L43" s="14">
        <f t="shared" si="19"/>
        <v>0</v>
      </c>
      <c r="M43" s="14">
        <f t="shared" si="19"/>
        <v>4456.6796340000001</v>
      </c>
      <c r="N43" s="14">
        <f t="shared" si="19"/>
        <v>4456.6796340000001</v>
      </c>
      <c r="O43" s="14">
        <f t="shared" si="19"/>
        <v>0</v>
      </c>
    </row>
    <row r="44" spans="1:15" ht="15">
      <c r="A44" s="170"/>
      <c r="B44" s="172"/>
      <c r="C44" s="174"/>
      <c r="D44" s="170"/>
      <c r="E44" s="170"/>
      <c r="F44" s="170"/>
      <c r="G44" s="13" t="s">
        <v>37</v>
      </c>
      <c r="H44" s="14">
        <f>IF(H43&gt;0,H43,0)</f>
        <v>0</v>
      </c>
      <c r="I44" s="14">
        <f>IF(I43&gt;0,I43+H44,0)</f>
        <v>0</v>
      </c>
      <c r="J44" s="14">
        <f t="shared" ref="J44" si="92">IF(J43&gt;0,J43+I44,0)</f>
        <v>0</v>
      </c>
      <c r="K44" s="14">
        <f t="shared" ref="K44" si="93">IF(K43&gt;0,K43+J44,0)</f>
        <v>0</v>
      </c>
      <c r="L44" s="14">
        <f t="shared" ref="L44" si="94">IF(L43&gt;0,L43+K44,0)</f>
        <v>0</v>
      </c>
      <c r="M44" s="14">
        <f t="shared" ref="M44" si="95">IF(M43&gt;0,M43+L44,0)</f>
        <v>4456.6796340000001</v>
      </c>
      <c r="N44" s="14">
        <f t="shared" ref="N44" si="96">IF(N43&gt;0,N43+M44,0)</f>
        <v>8913.3592680000002</v>
      </c>
      <c r="O44" s="14">
        <f t="shared" ref="O44" si="97">IF(O43&gt;0,O43+N44,0)</f>
        <v>0</v>
      </c>
    </row>
    <row r="45" spans="1:15" ht="15">
      <c r="A45" s="170">
        <v>19</v>
      </c>
      <c r="B45" s="172" t="str">
        <f>Orçamento!B107</f>
        <v>FERRAGEM COMPLEMENTAR PARA ESQUADRIAS</v>
      </c>
      <c r="C45" s="173">
        <f>Orçamento!J110</f>
        <v>1276.087158</v>
      </c>
      <c r="D45" s="169">
        <f t="shared" ref="D45" si="98">F45-E45+1</f>
        <v>1</v>
      </c>
      <c r="E45" s="171">
        <v>7</v>
      </c>
      <c r="F45" s="171">
        <v>7</v>
      </c>
      <c r="G45" s="13" t="s">
        <v>32</v>
      </c>
      <c r="H45" s="14">
        <f t="shared" si="19"/>
        <v>0</v>
      </c>
      <c r="I45" s="14">
        <f t="shared" si="19"/>
        <v>0</v>
      </c>
      <c r="J45" s="14">
        <f t="shared" si="19"/>
        <v>0</v>
      </c>
      <c r="K45" s="14">
        <f t="shared" si="19"/>
        <v>0</v>
      </c>
      <c r="L45" s="14">
        <f t="shared" si="19"/>
        <v>0</v>
      </c>
      <c r="M45" s="14">
        <f t="shared" si="19"/>
        <v>0</v>
      </c>
      <c r="N45" s="14">
        <f t="shared" si="19"/>
        <v>1276.087158</v>
      </c>
      <c r="O45" s="14">
        <f t="shared" si="19"/>
        <v>0</v>
      </c>
    </row>
    <row r="46" spans="1:15" ht="15">
      <c r="A46" s="170"/>
      <c r="B46" s="172"/>
      <c r="C46" s="174"/>
      <c r="D46" s="170"/>
      <c r="E46" s="170"/>
      <c r="F46" s="170"/>
      <c r="G46" s="13" t="s">
        <v>37</v>
      </c>
      <c r="H46" s="14">
        <f>IF(H45&gt;0,H45,0)</f>
        <v>0</v>
      </c>
      <c r="I46" s="14">
        <f>IF(I45&gt;0,I45+H46,0)</f>
        <v>0</v>
      </c>
      <c r="J46" s="14">
        <f t="shared" ref="J46" si="99">IF(J45&gt;0,J45+I46,0)</f>
        <v>0</v>
      </c>
      <c r="K46" s="14">
        <f t="shared" ref="K46" si="100">IF(K45&gt;0,K45+J46,0)</f>
        <v>0</v>
      </c>
      <c r="L46" s="14">
        <f t="shared" ref="L46" si="101">IF(L45&gt;0,L45+K46,0)</f>
        <v>0</v>
      </c>
      <c r="M46" s="14">
        <f t="shared" ref="M46" si="102">IF(M45&gt;0,M45+L46,0)</f>
        <v>0</v>
      </c>
      <c r="N46" s="14">
        <f t="shared" ref="N46" si="103">IF(N45&gt;0,N45+M46,0)</f>
        <v>1276.087158</v>
      </c>
      <c r="O46" s="14">
        <f t="shared" ref="O46" si="104">IF(O45&gt;0,O45+N46,0)</f>
        <v>0</v>
      </c>
    </row>
    <row r="47" spans="1:15" ht="15">
      <c r="A47" s="170">
        <v>20</v>
      </c>
      <c r="B47" s="172" t="str">
        <f>Orçamento!B111</f>
        <v>ACESSIBILIDADE</v>
      </c>
      <c r="C47" s="173">
        <f>Orçamento!J121</f>
        <v>5745.0966710000002</v>
      </c>
      <c r="D47" s="169">
        <f t="shared" ref="D47" si="105">F47-E47+1</f>
        <v>1</v>
      </c>
      <c r="E47" s="171">
        <v>7</v>
      </c>
      <c r="F47" s="171">
        <v>7</v>
      </c>
      <c r="G47" s="13" t="s">
        <v>32</v>
      </c>
      <c r="H47" s="14">
        <f t="shared" si="19"/>
        <v>0</v>
      </c>
      <c r="I47" s="14">
        <f t="shared" si="19"/>
        <v>0</v>
      </c>
      <c r="J47" s="14">
        <f t="shared" si="19"/>
        <v>0</v>
      </c>
      <c r="K47" s="14">
        <f t="shared" si="19"/>
        <v>0</v>
      </c>
      <c r="L47" s="14">
        <f t="shared" si="19"/>
        <v>0</v>
      </c>
      <c r="M47" s="14">
        <f t="shared" si="19"/>
        <v>0</v>
      </c>
      <c r="N47" s="14">
        <f t="shared" si="19"/>
        <v>5745.0966710000002</v>
      </c>
      <c r="O47" s="14">
        <f t="shared" si="19"/>
        <v>0</v>
      </c>
    </row>
    <row r="48" spans="1:15" ht="15">
      <c r="A48" s="170"/>
      <c r="B48" s="172"/>
      <c r="C48" s="174"/>
      <c r="D48" s="170"/>
      <c r="E48" s="170"/>
      <c r="F48" s="170"/>
      <c r="G48" s="13" t="s">
        <v>37</v>
      </c>
      <c r="H48" s="14">
        <f>IF(H47&gt;0,H47,0)</f>
        <v>0</v>
      </c>
      <c r="I48" s="14">
        <f>IF(I47&gt;0,I47+H48,0)</f>
        <v>0</v>
      </c>
      <c r="J48" s="14">
        <f t="shared" ref="J48" si="106">IF(J47&gt;0,J47+I48,0)</f>
        <v>0</v>
      </c>
      <c r="K48" s="14">
        <f t="shared" ref="K48" si="107">IF(K47&gt;0,K47+J48,0)</f>
        <v>0</v>
      </c>
      <c r="L48" s="14">
        <f t="shared" ref="L48" si="108">IF(L47&gt;0,L47+K48,0)</f>
        <v>0</v>
      </c>
      <c r="M48" s="14">
        <f t="shared" ref="M48" si="109">IF(M47&gt;0,M47+L48,0)</f>
        <v>0</v>
      </c>
      <c r="N48" s="14">
        <f t="shared" ref="N48" si="110">IF(N47&gt;0,N47+M48,0)</f>
        <v>5745.0966710000002</v>
      </c>
      <c r="O48" s="14">
        <f t="shared" ref="O48" si="111">IF(O47&gt;0,O47+N48,0)</f>
        <v>0</v>
      </c>
    </row>
    <row r="49" spans="1:15" ht="15">
      <c r="A49" s="170">
        <v>21</v>
      </c>
      <c r="B49" s="172" t="str">
        <f>Orçamento!B122</f>
        <v>IMPERMEABILIZAÇÃO, PROTEÇÃO E JUNTA</v>
      </c>
      <c r="C49" s="173">
        <f>Orçamento!J125</f>
        <v>977.99420099999998</v>
      </c>
      <c r="D49" s="169">
        <f t="shared" ref="D49" si="112">F49-E49+1</f>
        <v>4</v>
      </c>
      <c r="E49" s="171">
        <v>2</v>
      </c>
      <c r="F49" s="171">
        <v>5</v>
      </c>
      <c r="G49" s="13" t="s">
        <v>32</v>
      </c>
      <c r="H49" s="14">
        <f t="shared" si="19"/>
        <v>0</v>
      </c>
      <c r="I49" s="14">
        <f t="shared" si="19"/>
        <v>244.49855024999999</v>
      </c>
      <c r="J49" s="14">
        <f t="shared" si="19"/>
        <v>244.49855024999999</v>
      </c>
      <c r="K49" s="14">
        <f t="shared" si="19"/>
        <v>244.49855024999999</v>
      </c>
      <c r="L49" s="14">
        <f t="shared" si="19"/>
        <v>244.49855024999999</v>
      </c>
      <c r="M49" s="14">
        <f t="shared" si="19"/>
        <v>0</v>
      </c>
      <c r="N49" s="14">
        <f t="shared" si="19"/>
        <v>0</v>
      </c>
      <c r="O49" s="14">
        <f t="shared" si="19"/>
        <v>0</v>
      </c>
    </row>
    <row r="50" spans="1:15" ht="15">
      <c r="A50" s="170"/>
      <c r="B50" s="172"/>
      <c r="C50" s="174"/>
      <c r="D50" s="170"/>
      <c r="E50" s="170"/>
      <c r="F50" s="170"/>
      <c r="G50" s="13" t="s">
        <v>37</v>
      </c>
      <c r="H50" s="14">
        <f>IF(H49&gt;0,H49,0)</f>
        <v>0</v>
      </c>
      <c r="I50" s="14">
        <f>IF(I49&gt;0,I49+H50,0)</f>
        <v>244.49855024999999</v>
      </c>
      <c r="J50" s="14">
        <f t="shared" ref="J50" si="113">IF(J49&gt;0,J49+I50,0)</f>
        <v>488.99710049999999</v>
      </c>
      <c r="K50" s="14">
        <f t="shared" ref="K50" si="114">IF(K49&gt;0,K49+J50,0)</f>
        <v>733.49565074999998</v>
      </c>
      <c r="L50" s="14">
        <f t="shared" ref="L50" si="115">IF(L49&gt;0,L49+K50,0)</f>
        <v>977.99420099999998</v>
      </c>
      <c r="M50" s="14">
        <f t="shared" ref="M50" si="116">IF(M49&gt;0,M49+L50,0)</f>
        <v>0</v>
      </c>
      <c r="N50" s="14">
        <f t="shared" ref="N50" si="117">IF(N49&gt;0,N49+M50,0)</f>
        <v>0</v>
      </c>
      <c r="O50" s="14">
        <f t="shared" ref="O50" si="118">IF(O49&gt;0,O49+N50,0)</f>
        <v>0</v>
      </c>
    </row>
    <row r="51" spans="1:15" ht="15">
      <c r="A51" s="170">
        <v>22</v>
      </c>
      <c r="B51" s="172" t="str">
        <f>Orçamento!B126</f>
        <v>PINTURA</v>
      </c>
      <c r="C51" s="173">
        <f>Orçamento!J137</f>
        <v>40890.959706760004</v>
      </c>
      <c r="D51" s="169">
        <f t="shared" ref="D51" si="119">F51-E51+1</f>
        <v>2</v>
      </c>
      <c r="E51" s="171">
        <v>7</v>
      </c>
      <c r="F51" s="171">
        <v>8</v>
      </c>
      <c r="G51" s="13" t="s">
        <v>32</v>
      </c>
      <c r="H51" s="14">
        <f t="shared" si="19"/>
        <v>0</v>
      </c>
      <c r="I51" s="14">
        <f t="shared" si="19"/>
        <v>0</v>
      </c>
      <c r="J51" s="14">
        <f t="shared" si="19"/>
        <v>0</v>
      </c>
      <c r="K51" s="14">
        <f t="shared" si="19"/>
        <v>0</v>
      </c>
      <c r="L51" s="14">
        <f t="shared" si="19"/>
        <v>0</v>
      </c>
      <c r="M51" s="14">
        <f t="shared" si="19"/>
        <v>0</v>
      </c>
      <c r="N51" s="14">
        <f t="shared" si="19"/>
        <v>20445.479853380002</v>
      </c>
      <c r="O51" s="14">
        <f t="shared" si="19"/>
        <v>20445.479853380002</v>
      </c>
    </row>
    <row r="52" spans="1:15" ht="15">
      <c r="A52" s="170"/>
      <c r="B52" s="172"/>
      <c r="C52" s="174"/>
      <c r="D52" s="170"/>
      <c r="E52" s="170"/>
      <c r="F52" s="170"/>
      <c r="G52" s="13" t="s">
        <v>37</v>
      </c>
      <c r="H52" s="14">
        <f>IF(H51&gt;0,H51,0)</f>
        <v>0</v>
      </c>
      <c r="I52" s="14">
        <f>IF(I51&gt;0,I51+H52,0)</f>
        <v>0</v>
      </c>
      <c r="J52" s="14">
        <f t="shared" ref="J52" si="120">IF(J51&gt;0,J51+I52,0)</f>
        <v>0</v>
      </c>
      <c r="K52" s="14">
        <f t="shared" ref="K52" si="121">IF(K51&gt;0,K51+J52,0)</f>
        <v>0</v>
      </c>
      <c r="L52" s="14">
        <f t="shared" ref="L52" si="122">IF(L51&gt;0,L51+K52,0)</f>
        <v>0</v>
      </c>
      <c r="M52" s="14">
        <f t="shared" ref="M52" si="123">IF(M51&gt;0,M51+L52,0)</f>
        <v>0</v>
      </c>
      <c r="N52" s="14">
        <f t="shared" ref="N52" si="124">IF(N51&gt;0,N51+M52,0)</f>
        <v>20445.479853380002</v>
      </c>
      <c r="O52" s="14">
        <f t="shared" ref="O52" si="125">IF(O51&gt;0,O51+N52,0)</f>
        <v>40890.959706760004</v>
      </c>
    </row>
    <row r="53" spans="1:15" ht="15">
      <c r="A53" s="170">
        <v>23</v>
      </c>
      <c r="B53" s="172" t="str">
        <f>Orçamento!B138</f>
        <v>PAISAGISMO E FECHAMENTOS</v>
      </c>
      <c r="C53" s="173">
        <f>Orçamento!J141</f>
        <v>533.78664600000002</v>
      </c>
      <c r="D53" s="169">
        <f t="shared" ref="D53" si="126">F53-E53+1</f>
        <v>1</v>
      </c>
      <c r="E53" s="171">
        <v>5</v>
      </c>
      <c r="F53" s="171">
        <v>5</v>
      </c>
      <c r="G53" s="13" t="s">
        <v>32</v>
      </c>
      <c r="H53" s="14">
        <f t="shared" si="19"/>
        <v>0</v>
      </c>
      <c r="I53" s="14">
        <f t="shared" si="19"/>
        <v>0</v>
      </c>
      <c r="J53" s="14">
        <f t="shared" si="19"/>
        <v>0</v>
      </c>
      <c r="K53" s="14">
        <f t="shared" si="19"/>
        <v>0</v>
      </c>
      <c r="L53" s="14">
        <f t="shared" si="19"/>
        <v>533.78664600000002</v>
      </c>
      <c r="M53" s="14">
        <f t="shared" si="19"/>
        <v>0</v>
      </c>
      <c r="N53" s="14">
        <f t="shared" si="19"/>
        <v>0</v>
      </c>
      <c r="O53" s="14">
        <f t="shared" si="19"/>
        <v>0</v>
      </c>
    </row>
    <row r="54" spans="1:15" ht="15">
      <c r="A54" s="170"/>
      <c r="B54" s="172"/>
      <c r="C54" s="174"/>
      <c r="D54" s="170"/>
      <c r="E54" s="170"/>
      <c r="F54" s="170"/>
      <c r="G54" s="13" t="s">
        <v>37</v>
      </c>
      <c r="H54" s="14">
        <f>IF(H53&gt;0,H53,0)</f>
        <v>0</v>
      </c>
      <c r="I54" s="14">
        <f>IF(I53&gt;0,I53+H54,0)</f>
        <v>0</v>
      </c>
      <c r="J54" s="14">
        <f t="shared" ref="J54" si="127">IF(J53&gt;0,J53+I54,0)</f>
        <v>0</v>
      </c>
      <c r="K54" s="14">
        <f t="shared" ref="K54" si="128">IF(K53&gt;0,K53+J54,0)</f>
        <v>0</v>
      </c>
      <c r="L54" s="14">
        <f t="shared" ref="L54" si="129">IF(L53&gt;0,L53+K54,0)</f>
        <v>533.78664600000002</v>
      </c>
      <c r="M54" s="14">
        <f t="shared" ref="M54" si="130">IF(M53&gt;0,M53+L54,0)</f>
        <v>0</v>
      </c>
      <c r="N54" s="14">
        <f t="shared" ref="N54" si="131">IF(N53&gt;0,N53+M54,0)</f>
        <v>0</v>
      </c>
      <c r="O54" s="14">
        <f t="shared" ref="O54" si="132">IF(O53&gt;0,O53+N54,0)</f>
        <v>0</v>
      </c>
    </row>
    <row r="55" spans="1:15" ht="15">
      <c r="A55" s="170">
        <v>24</v>
      </c>
      <c r="B55" s="172" t="str">
        <f>Orçamento!B142</f>
        <v>PLAYGROUND E EQUIPAMENTO RECREATIVO</v>
      </c>
      <c r="C55" s="173">
        <f>Orçamento!J145</f>
        <v>2378.2529519999998</v>
      </c>
      <c r="D55" s="169">
        <f t="shared" ref="D55" si="133">F55-E55+1</f>
        <v>1</v>
      </c>
      <c r="E55" s="171">
        <v>7</v>
      </c>
      <c r="F55" s="171">
        <v>7</v>
      </c>
      <c r="G55" s="13" t="s">
        <v>32</v>
      </c>
      <c r="H55" s="14">
        <f t="shared" si="19"/>
        <v>0</v>
      </c>
      <c r="I55" s="14">
        <f t="shared" si="19"/>
        <v>0</v>
      </c>
      <c r="J55" s="14">
        <f t="shared" si="19"/>
        <v>0</v>
      </c>
      <c r="K55" s="14">
        <f t="shared" si="19"/>
        <v>0</v>
      </c>
      <c r="L55" s="14">
        <f t="shared" si="19"/>
        <v>0</v>
      </c>
      <c r="M55" s="14">
        <f t="shared" si="19"/>
        <v>0</v>
      </c>
      <c r="N55" s="14">
        <f t="shared" si="19"/>
        <v>2378.2529519999998</v>
      </c>
      <c r="O55" s="14">
        <f t="shared" si="19"/>
        <v>0</v>
      </c>
    </row>
    <row r="56" spans="1:15" ht="15">
      <c r="A56" s="170"/>
      <c r="B56" s="172"/>
      <c r="C56" s="174"/>
      <c r="D56" s="170"/>
      <c r="E56" s="170"/>
      <c r="F56" s="170"/>
      <c r="G56" s="13" t="s">
        <v>37</v>
      </c>
      <c r="H56" s="14">
        <f>IF(H55&gt;0,H55,0)</f>
        <v>0</v>
      </c>
      <c r="I56" s="14">
        <f>IF(I55&gt;0,I55+H56,0)</f>
        <v>0</v>
      </c>
      <c r="J56" s="14">
        <f t="shared" ref="J56" si="134">IF(J55&gt;0,J55+I56,0)</f>
        <v>0</v>
      </c>
      <c r="K56" s="14">
        <f t="shared" ref="K56" si="135">IF(K55&gt;0,K55+J56,0)</f>
        <v>0</v>
      </c>
      <c r="L56" s="14">
        <f t="shared" ref="L56" si="136">IF(L55&gt;0,L55+K56,0)</f>
        <v>0</v>
      </c>
      <c r="M56" s="14">
        <f t="shared" ref="M56" si="137">IF(M55&gt;0,M55+L56,0)</f>
        <v>0</v>
      </c>
      <c r="N56" s="14">
        <f t="shared" ref="N56" si="138">IF(N55&gt;0,N55+M56,0)</f>
        <v>2378.2529519999998</v>
      </c>
      <c r="O56" s="14">
        <f t="shared" ref="O56" si="139">IF(O55&gt;0,O55+N56,0)</f>
        <v>0</v>
      </c>
    </row>
    <row r="57" spans="1:15" ht="15">
      <c r="A57" s="170">
        <v>25</v>
      </c>
      <c r="B57" s="172" t="str">
        <f>Orçamento!B146</f>
        <v>QUADRO E PAINEL PARA ENERGIA ELÉTRICA E TELEFONIA</v>
      </c>
      <c r="C57" s="173">
        <f>Orçamento!J161</f>
        <v>1475.8361150000001</v>
      </c>
      <c r="D57" s="169">
        <f t="shared" ref="D57" si="140">F57-E57+1</f>
        <v>1</v>
      </c>
      <c r="E57" s="171">
        <v>6</v>
      </c>
      <c r="F57" s="171">
        <v>6</v>
      </c>
      <c r="G57" s="13" t="s">
        <v>32</v>
      </c>
      <c r="H57" s="14">
        <f t="shared" si="19"/>
        <v>0</v>
      </c>
      <c r="I57" s="14">
        <f t="shared" si="19"/>
        <v>0</v>
      </c>
      <c r="J57" s="14">
        <f t="shared" si="19"/>
        <v>0</v>
      </c>
      <c r="K57" s="14">
        <f t="shared" si="19"/>
        <v>0</v>
      </c>
      <c r="L57" s="14">
        <f t="shared" si="19"/>
        <v>0</v>
      </c>
      <c r="M57" s="14">
        <f t="shared" si="19"/>
        <v>1475.8361150000001</v>
      </c>
      <c r="N57" s="14">
        <f t="shared" si="19"/>
        <v>0</v>
      </c>
      <c r="O57" s="14">
        <f t="shared" si="19"/>
        <v>0</v>
      </c>
    </row>
    <row r="58" spans="1:15" ht="15">
      <c r="A58" s="170"/>
      <c r="B58" s="172"/>
      <c r="C58" s="174"/>
      <c r="D58" s="170"/>
      <c r="E58" s="170"/>
      <c r="F58" s="170"/>
      <c r="G58" s="13" t="s">
        <v>37</v>
      </c>
      <c r="H58" s="14">
        <f>IF(H57&gt;0,H57,0)</f>
        <v>0</v>
      </c>
      <c r="I58" s="14">
        <f>IF(I57&gt;0,I57+H58,0)</f>
        <v>0</v>
      </c>
      <c r="J58" s="14">
        <f t="shared" ref="J58" si="141">IF(J57&gt;0,J57+I58,0)</f>
        <v>0</v>
      </c>
      <c r="K58" s="14">
        <f t="shared" ref="K58" si="142">IF(K57&gt;0,K57+J58,0)</f>
        <v>0</v>
      </c>
      <c r="L58" s="14">
        <f t="shared" ref="L58" si="143">IF(L57&gt;0,L57+K58,0)</f>
        <v>0</v>
      </c>
      <c r="M58" s="14">
        <f t="shared" ref="M58" si="144">IF(M57&gt;0,M57+L58,0)</f>
        <v>1475.8361150000001</v>
      </c>
      <c r="N58" s="14">
        <f t="shared" ref="N58" si="145">IF(N57&gt;0,N57+M58,0)</f>
        <v>0</v>
      </c>
      <c r="O58" s="14">
        <f t="shared" ref="O58" si="146">IF(O57&gt;0,O57+N58,0)</f>
        <v>0</v>
      </c>
    </row>
    <row r="59" spans="1:15" ht="15">
      <c r="A59" s="170">
        <v>26</v>
      </c>
      <c r="B59" s="172" t="str">
        <f>Orçamento!B162</f>
        <v>TUBULAÇÃO E CONDUTOR PARA ENERGIA ELÉTRICA E TELEFONIA BÁSICA</v>
      </c>
      <c r="C59" s="173">
        <f>Orçamento!J171</f>
        <v>3389.3644949999998</v>
      </c>
      <c r="D59" s="169">
        <f t="shared" ref="D59" si="147">F59-E59+1</f>
        <v>1</v>
      </c>
      <c r="E59" s="171">
        <v>6</v>
      </c>
      <c r="F59" s="171">
        <v>6</v>
      </c>
      <c r="G59" s="13" t="s">
        <v>32</v>
      </c>
      <c r="H59" s="14">
        <f t="shared" si="19"/>
        <v>0</v>
      </c>
      <c r="I59" s="14">
        <f t="shared" si="19"/>
        <v>0</v>
      </c>
      <c r="J59" s="14">
        <f t="shared" si="19"/>
        <v>0</v>
      </c>
      <c r="K59" s="14">
        <f t="shared" si="19"/>
        <v>0</v>
      </c>
      <c r="L59" s="14">
        <f t="shared" si="19"/>
        <v>0</v>
      </c>
      <c r="M59" s="14">
        <f t="shared" si="19"/>
        <v>3389.3644949999998</v>
      </c>
      <c r="N59" s="14">
        <f t="shared" si="19"/>
        <v>0</v>
      </c>
      <c r="O59" s="14">
        <f t="shared" si="19"/>
        <v>0</v>
      </c>
    </row>
    <row r="60" spans="1:15" ht="15">
      <c r="A60" s="170"/>
      <c r="B60" s="172"/>
      <c r="C60" s="174"/>
      <c r="D60" s="170"/>
      <c r="E60" s="170"/>
      <c r="F60" s="170"/>
      <c r="G60" s="13" t="s">
        <v>37</v>
      </c>
      <c r="H60" s="14">
        <f>IF(H59&gt;0,H59,0)</f>
        <v>0</v>
      </c>
      <c r="I60" s="14">
        <f>IF(I59&gt;0,I59+H60,0)</f>
        <v>0</v>
      </c>
      <c r="J60" s="14">
        <f t="shared" ref="J60" si="148">IF(J59&gt;0,J59+I60,0)</f>
        <v>0</v>
      </c>
      <c r="K60" s="14">
        <f t="shared" ref="K60" si="149">IF(K59&gt;0,K59+J60,0)</f>
        <v>0</v>
      </c>
      <c r="L60" s="14">
        <f t="shared" ref="L60" si="150">IF(L59&gt;0,L59+K60,0)</f>
        <v>0</v>
      </c>
      <c r="M60" s="14">
        <f t="shared" ref="M60" si="151">IF(M59&gt;0,M59+L60,0)</f>
        <v>3389.3644949999998</v>
      </c>
      <c r="N60" s="14">
        <f t="shared" ref="N60" si="152">IF(N59&gt;0,N59+M60,0)</f>
        <v>0</v>
      </c>
      <c r="O60" s="14">
        <f t="shared" ref="O60" si="153">IF(O59&gt;0,O59+N60,0)</f>
        <v>0</v>
      </c>
    </row>
    <row r="61" spans="1:15" ht="15">
      <c r="A61" s="170">
        <v>27</v>
      </c>
      <c r="B61" s="172" t="str">
        <f>Orçamento!B172</f>
        <v>CONDUTOR E ENFIAÇÃO DE ENERGIA ELÉTRICA E TELEFONIA</v>
      </c>
      <c r="C61" s="173">
        <f>Orçamento!J183</f>
        <v>1412.1460820000002</v>
      </c>
      <c r="D61" s="169">
        <f t="shared" ref="D61" si="154">F61-E61+1</f>
        <v>1</v>
      </c>
      <c r="E61" s="171">
        <v>6</v>
      </c>
      <c r="F61" s="171">
        <v>6</v>
      </c>
      <c r="G61" s="13" t="s">
        <v>32</v>
      </c>
      <c r="H61" s="14">
        <f t="shared" si="19"/>
        <v>0</v>
      </c>
      <c r="I61" s="14">
        <f t="shared" si="19"/>
        <v>0</v>
      </c>
      <c r="J61" s="14">
        <f t="shared" si="19"/>
        <v>0</v>
      </c>
      <c r="K61" s="14">
        <f t="shared" si="19"/>
        <v>0</v>
      </c>
      <c r="L61" s="14">
        <f t="shared" si="19"/>
        <v>0</v>
      </c>
      <c r="M61" s="14">
        <f t="shared" si="19"/>
        <v>1412.1460820000002</v>
      </c>
      <c r="N61" s="14">
        <f t="shared" si="19"/>
        <v>0</v>
      </c>
      <c r="O61" s="14">
        <f t="shared" si="19"/>
        <v>0</v>
      </c>
    </row>
    <row r="62" spans="1:15" ht="15">
      <c r="A62" s="170"/>
      <c r="B62" s="172"/>
      <c r="C62" s="174"/>
      <c r="D62" s="170"/>
      <c r="E62" s="170"/>
      <c r="F62" s="170"/>
      <c r="G62" s="13" t="s">
        <v>37</v>
      </c>
      <c r="H62" s="14">
        <f>IF(H61&gt;0,H61,0)</f>
        <v>0</v>
      </c>
      <c r="I62" s="14">
        <f>IF(I61&gt;0,I61+H62,0)</f>
        <v>0</v>
      </c>
      <c r="J62" s="14">
        <f t="shared" ref="J62" si="155">IF(J61&gt;0,J61+I62,0)</f>
        <v>0</v>
      </c>
      <c r="K62" s="14">
        <f t="shared" ref="K62" si="156">IF(K61&gt;0,K61+J62,0)</f>
        <v>0</v>
      </c>
      <c r="L62" s="14">
        <f t="shared" ref="L62" si="157">IF(L61&gt;0,L61+K62,0)</f>
        <v>0</v>
      </c>
      <c r="M62" s="14">
        <f t="shared" ref="M62" si="158">IF(M61&gt;0,M61+L62,0)</f>
        <v>1412.1460820000002</v>
      </c>
      <c r="N62" s="14">
        <f t="shared" ref="N62" si="159">IF(N61&gt;0,N61+M62,0)</f>
        <v>0</v>
      </c>
      <c r="O62" s="14">
        <f t="shared" ref="O62" si="160">IF(O61&gt;0,O61+N62,0)</f>
        <v>0</v>
      </c>
    </row>
    <row r="63" spans="1:15" ht="15">
      <c r="A63" s="170">
        <v>28</v>
      </c>
      <c r="B63" s="172" t="str">
        <f>Orçamento!B184</f>
        <v>DISTRIBUIÇÃO DE FORÇA E COMANDO DE ENERGIA ELÉTRICA E TELEFONIA</v>
      </c>
      <c r="C63" s="173">
        <f>Orçamento!J198</f>
        <v>2139.0434650000002</v>
      </c>
      <c r="D63" s="169">
        <f t="shared" ref="D63" si="161">F63-E63+1</f>
        <v>1</v>
      </c>
      <c r="E63" s="171">
        <v>6</v>
      </c>
      <c r="F63" s="171">
        <v>6</v>
      </c>
      <c r="G63" s="13" t="s">
        <v>32</v>
      </c>
      <c r="H63" s="14">
        <f t="shared" si="19"/>
        <v>0</v>
      </c>
      <c r="I63" s="14">
        <f t="shared" si="19"/>
        <v>0</v>
      </c>
      <c r="J63" s="14">
        <f t="shared" si="19"/>
        <v>0</v>
      </c>
      <c r="K63" s="14">
        <f t="shared" si="19"/>
        <v>0</v>
      </c>
      <c r="L63" s="14">
        <f t="shared" si="19"/>
        <v>0</v>
      </c>
      <c r="M63" s="14">
        <f t="shared" si="19"/>
        <v>2139.0434650000002</v>
      </c>
      <c r="N63" s="14">
        <f t="shared" si="19"/>
        <v>0</v>
      </c>
      <c r="O63" s="14">
        <f t="shared" si="19"/>
        <v>0</v>
      </c>
    </row>
    <row r="64" spans="1:15" ht="15">
      <c r="A64" s="170"/>
      <c r="B64" s="172"/>
      <c r="C64" s="174"/>
      <c r="D64" s="170"/>
      <c r="E64" s="170"/>
      <c r="F64" s="170"/>
      <c r="G64" s="13" t="s">
        <v>37</v>
      </c>
      <c r="H64" s="14">
        <f>IF(H63&gt;0,H63,0)</f>
        <v>0</v>
      </c>
      <c r="I64" s="14">
        <f>IF(I63&gt;0,I63+H64,0)</f>
        <v>0</v>
      </c>
      <c r="J64" s="14">
        <f t="shared" ref="J64" si="162">IF(J63&gt;0,J63+I64,0)</f>
        <v>0</v>
      </c>
      <c r="K64" s="14">
        <f t="shared" ref="K64" si="163">IF(K63&gt;0,K63+J64,0)</f>
        <v>0</v>
      </c>
      <c r="L64" s="14">
        <f t="shared" ref="L64" si="164">IF(L63&gt;0,L63+K64,0)</f>
        <v>0</v>
      </c>
      <c r="M64" s="14">
        <f t="shared" ref="M64" si="165">IF(M63&gt;0,M63+L64,0)</f>
        <v>2139.0434650000002</v>
      </c>
      <c r="N64" s="14">
        <f t="shared" ref="N64" si="166">IF(N63&gt;0,N63+M64,0)</f>
        <v>0</v>
      </c>
      <c r="O64" s="14">
        <f t="shared" ref="O64" si="167">IF(O63&gt;0,O63+N64,0)</f>
        <v>0</v>
      </c>
    </row>
    <row r="65" spans="1:15" ht="15">
      <c r="A65" s="170">
        <v>29</v>
      </c>
      <c r="B65" s="172" t="str">
        <f>Orçamento!B199</f>
        <v>ILUMINAÇÃO</v>
      </c>
      <c r="C65" s="173">
        <f>Orçamento!J206</f>
        <v>2158.3065960000004</v>
      </c>
      <c r="D65" s="169">
        <f t="shared" ref="D65" si="168">F65-E65+1</f>
        <v>2</v>
      </c>
      <c r="E65" s="171">
        <v>7</v>
      </c>
      <c r="F65" s="171">
        <v>8</v>
      </c>
      <c r="G65" s="13" t="s">
        <v>32</v>
      </c>
      <c r="H65" s="14">
        <f t="shared" si="19"/>
        <v>0</v>
      </c>
      <c r="I65" s="14">
        <f t="shared" si="19"/>
        <v>0</v>
      </c>
      <c r="J65" s="14">
        <f t="shared" si="19"/>
        <v>0</v>
      </c>
      <c r="K65" s="14">
        <f t="shared" si="19"/>
        <v>0</v>
      </c>
      <c r="L65" s="14">
        <f t="shared" si="19"/>
        <v>0</v>
      </c>
      <c r="M65" s="14">
        <f t="shared" si="19"/>
        <v>0</v>
      </c>
      <c r="N65" s="14">
        <f t="shared" si="19"/>
        <v>1079.1532980000002</v>
      </c>
      <c r="O65" s="14">
        <f t="shared" si="19"/>
        <v>1079.1532980000002</v>
      </c>
    </row>
    <row r="66" spans="1:15" ht="15">
      <c r="A66" s="170"/>
      <c r="B66" s="172"/>
      <c r="C66" s="174"/>
      <c r="D66" s="170"/>
      <c r="E66" s="170"/>
      <c r="F66" s="170"/>
      <c r="G66" s="13" t="s">
        <v>37</v>
      </c>
      <c r="H66" s="14">
        <f>IF(H65&gt;0,H65,0)</f>
        <v>0</v>
      </c>
      <c r="I66" s="14">
        <f>IF(I65&gt;0,I65+H66,0)</f>
        <v>0</v>
      </c>
      <c r="J66" s="14">
        <f t="shared" ref="J66" si="169">IF(J65&gt;0,J65+I66,0)</f>
        <v>0</v>
      </c>
      <c r="K66" s="14">
        <f t="shared" ref="K66" si="170">IF(K65&gt;0,K65+J66,0)</f>
        <v>0</v>
      </c>
      <c r="L66" s="14">
        <f t="shared" ref="L66" si="171">IF(L65&gt;0,L65+K66,0)</f>
        <v>0</v>
      </c>
      <c r="M66" s="14">
        <f t="shared" ref="M66" si="172">IF(M65&gt;0,M65+L66,0)</f>
        <v>0</v>
      </c>
      <c r="N66" s="14">
        <f t="shared" ref="N66" si="173">IF(N65&gt;0,N65+M66,0)</f>
        <v>1079.1532980000002</v>
      </c>
      <c r="O66" s="14">
        <f t="shared" ref="O66" si="174">IF(O65&gt;0,O65+N66,0)</f>
        <v>2158.3065960000004</v>
      </c>
    </row>
    <row r="67" spans="1:15" ht="15">
      <c r="A67" s="170">
        <v>30</v>
      </c>
      <c r="B67" s="172" t="str">
        <f>Orçamento!B207</f>
        <v>PARA-RAIOS PARA EDIFICAÇÃO</v>
      </c>
      <c r="C67" s="173">
        <f>Orçamento!J214</f>
        <v>651.66422300000011</v>
      </c>
      <c r="D67" s="169">
        <f t="shared" ref="D67" si="175">F67-E67+1</f>
        <v>1</v>
      </c>
      <c r="E67" s="171">
        <v>6</v>
      </c>
      <c r="F67" s="171">
        <v>6</v>
      </c>
      <c r="G67" s="13" t="s">
        <v>32</v>
      </c>
      <c r="H67" s="14">
        <f t="shared" si="19"/>
        <v>0</v>
      </c>
      <c r="I67" s="14">
        <f t="shared" si="19"/>
        <v>0</v>
      </c>
      <c r="J67" s="14">
        <f t="shared" si="19"/>
        <v>0</v>
      </c>
      <c r="K67" s="14">
        <f t="shared" si="19"/>
        <v>0</v>
      </c>
      <c r="L67" s="14">
        <f t="shared" si="19"/>
        <v>0</v>
      </c>
      <c r="M67" s="14">
        <f t="shared" si="19"/>
        <v>651.66422300000011</v>
      </c>
      <c r="N67" s="14">
        <f t="shared" si="19"/>
        <v>0</v>
      </c>
      <c r="O67" s="14">
        <f t="shared" si="19"/>
        <v>0</v>
      </c>
    </row>
    <row r="68" spans="1:15" ht="15">
      <c r="A68" s="170"/>
      <c r="B68" s="172"/>
      <c r="C68" s="174"/>
      <c r="D68" s="170"/>
      <c r="E68" s="170"/>
      <c r="F68" s="170"/>
      <c r="G68" s="13" t="s">
        <v>37</v>
      </c>
      <c r="H68" s="14">
        <f>IF(H67&gt;0,H67,0)</f>
        <v>0</v>
      </c>
      <c r="I68" s="14">
        <f>IF(I67&gt;0,I67+H68,0)</f>
        <v>0</v>
      </c>
      <c r="J68" s="14">
        <f t="shared" ref="J68" si="176">IF(J67&gt;0,J67+I68,0)</f>
        <v>0</v>
      </c>
      <c r="K68" s="14">
        <f t="shared" ref="K68" si="177">IF(K67&gt;0,K67+J68,0)</f>
        <v>0</v>
      </c>
      <c r="L68" s="14">
        <f t="shared" ref="L68" si="178">IF(L67&gt;0,L67+K68,0)</f>
        <v>0</v>
      </c>
      <c r="M68" s="14">
        <f t="shared" ref="M68" si="179">IF(M67&gt;0,M67+L68,0)</f>
        <v>651.66422300000011</v>
      </c>
      <c r="N68" s="14">
        <f t="shared" ref="N68" si="180">IF(N67&gt;0,N67+M68,0)</f>
        <v>0</v>
      </c>
      <c r="O68" s="14">
        <f t="shared" ref="O68" si="181">IF(O67&gt;0,O67+N68,0)</f>
        <v>0</v>
      </c>
    </row>
    <row r="69" spans="1:15" ht="15">
      <c r="A69" s="170">
        <v>31</v>
      </c>
      <c r="B69" s="172" t="str">
        <f>Orçamento!B215</f>
        <v>APARELHOS ELÉTRICOS, HIDRÁULICOS E A GÁS.</v>
      </c>
      <c r="C69" s="173">
        <f>Orçamento!J224</f>
        <v>6718.6039270000001</v>
      </c>
      <c r="D69" s="169">
        <f t="shared" ref="D69" si="182">F69-E69+1</f>
        <v>1</v>
      </c>
      <c r="E69" s="171">
        <v>8</v>
      </c>
      <c r="F69" s="171">
        <v>8</v>
      </c>
      <c r="G69" s="13" t="s">
        <v>32</v>
      </c>
      <c r="H69" s="14">
        <f t="shared" si="19"/>
        <v>0</v>
      </c>
      <c r="I69" s="14">
        <f t="shared" si="19"/>
        <v>0</v>
      </c>
      <c r="J69" s="14">
        <f t="shared" si="19"/>
        <v>0</v>
      </c>
      <c r="K69" s="14">
        <f t="shared" si="19"/>
        <v>0</v>
      </c>
      <c r="L69" s="14">
        <f t="shared" si="19"/>
        <v>0</v>
      </c>
      <c r="M69" s="14">
        <f t="shared" si="19"/>
        <v>0</v>
      </c>
      <c r="N69" s="14">
        <f t="shared" si="19"/>
        <v>0</v>
      </c>
      <c r="O69" s="14">
        <f t="shared" si="19"/>
        <v>6718.6039270000001</v>
      </c>
    </row>
    <row r="70" spans="1:15" ht="15">
      <c r="A70" s="170"/>
      <c r="B70" s="172"/>
      <c r="C70" s="174"/>
      <c r="D70" s="170"/>
      <c r="E70" s="170"/>
      <c r="F70" s="170"/>
      <c r="G70" s="13" t="s">
        <v>37</v>
      </c>
      <c r="H70" s="14">
        <f>IF(H69&gt;0,H69,0)</f>
        <v>0</v>
      </c>
      <c r="I70" s="14">
        <f>IF(I69&gt;0,I69+H70,0)</f>
        <v>0</v>
      </c>
      <c r="J70" s="14">
        <f t="shared" ref="J70" si="183">IF(J69&gt;0,J69+I70,0)</f>
        <v>0</v>
      </c>
      <c r="K70" s="14">
        <f t="shared" ref="K70" si="184">IF(K69&gt;0,K69+J70,0)</f>
        <v>0</v>
      </c>
      <c r="L70" s="14">
        <f t="shared" ref="L70" si="185">IF(L69&gt;0,L69+K70,0)</f>
        <v>0</v>
      </c>
      <c r="M70" s="14">
        <f t="shared" ref="M70" si="186">IF(M69&gt;0,M69+L70,0)</f>
        <v>0</v>
      </c>
      <c r="N70" s="14">
        <f t="shared" ref="N70" si="187">IF(N69&gt;0,N69+M70,0)</f>
        <v>0</v>
      </c>
      <c r="O70" s="14">
        <f t="shared" ref="O70" si="188">IF(O69&gt;0,O69+N70,0)</f>
        <v>6718.6039270000001</v>
      </c>
    </row>
    <row r="71" spans="1:15" ht="15">
      <c r="A71" s="170">
        <v>32</v>
      </c>
      <c r="B71" s="172" t="str">
        <f>Orçamento!B225</f>
        <v>APARELHOS E METAIS HIDRÁULICOS</v>
      </c>
      <c r="C71" s="173">
        <f>Orçamento!J251</f>
        <v>10562.983859670001</v>
      </c>
      <c r="D71" s="169">
        <f t="shared" ref="D71" si="189">F71-E71+1</f>
        <v>2</v>
      </c>
      <c r="E71" s="171">
        <v>7</v>
      </c>
      <c r="F71" s="171">
        <v>8</v>
      </c>
      <c r="G71" s="13" t="s">
        <v>32</v>
      </c>
      <c r="H71" s="14">
        <f t="shared" si="19"/>
        <v>0</v>
      </c>
      <c r="I71" s="14">
        <f t="shared" si="19"/>
        <v>0</v>
      </c>
      <c r="J71" s="14">
        <f t="shared" si="19"/>
        <v>0</v>
      </c>
      <c r="K71" s="14">
        <f t="shared" si="19"/>
        <v>0</v>
      </c>
      <c r="L71" s="14">
        <f t="shared" si="19"/>
        <v>0</v>
      </c>
      <c r="M71" s="14">
        <f t="shared" si="19"/>
        <v>0</v>
      </c>
      <c r="N71" s="14">
        <f t="shared" si="19"/>
        <v>5281.4919298350005</v>
      </c>
      <c r="O71" s="14">
        <f t="shared" si="19"/>
        <v>5281.4919298350005</v>
      </c>
    </row>
    <row r="72" spans="1:15" ht="15">
      <c r="A72" s="170"/>
      <c r="B72" s="172"/>
      <c r="C72" s="174"/>
      <c r="D72" s="170"/>
      <c r="E72" s="170"/>
      <c r="F72" s="170"/>
      <c r="G72" s="13" t="s">
        <v>37</v>
      </c>
      <c r="H72" s="14">
        <f>IF(H71&gt;0,H71,0)</f>
        <v>0</v>
      </c>
      <c r="I72" s="14">
        <f>IF(I71&gt;0,I71+H72,0)</f>
        <v>0</v>
      </c>
      <c r="J72" s="14">
        <f t="shared" ref="J72" si="190">IF(J71&gt;0,J71+I72,0)</f>
        <v>0</v>
      </c>
      <c r="K72" s="14">
        <f t="shared" ref="K72" si="191">IF(K71&gt;0,K71+J72,0)</f>
        <v>0</v>
      </c>
      <c r="L72" s="14">
        <f t="shared" ref="L72" si="192">IF(L71&gt;0,L71+K72,0)</f>
        <v>0</v>
      </c>
      <c r="M72" s="14">
        <f t="shared" ref="M72" si="193">IF(M71&gt;0,M71+L72,0)</f>
        <v>0</v>
      </c>
      <c r="N72" s="14">
        <f t="shared" ref="N72" si="194">IF(N71&gt;0,N71+M72,0)</f>
        <v>5281.4919298350005</v>
      </c>
      <c r="O72" s="14">
        <f t="shared" ref="O72" si="195">IF(O71&gt;0,O71+N72,0)</f>
        <v>10562.983859670001</v>
      </c>
    </row>
    <row r="73" spans="1:15" ht="15">
      <c r="A73" s="170">
        <v>33</v>
      </c>
      <c r="B73" s="172" t="str">
        <f>Orçamento!B252</f>
        <v>ENTRADA DE ÁGUA, INCÊNDIO E GÁS</v>
      </c>
      <c r="C73" s="173">
        <f>Orçamento!J254</f>
        <v>5270.8204379999997</v>
      </c>
      <c r="D73" s="169">
        <f t="shared" ref="D73" si="196">F73-E73+1</f>
        <v>1</v>
      </c>
      <c r="E73" s="171">
        <v>4</v>
      </c>
      <c r="F73" s="171">
        <v>4</v>
      </c>
      <c r="G73" s="13" t="s">
        <v>32</v>
      </c>
      <c r="H73" s="14">
        <f t="shared" si="19"/>
        <v>0</v>
      </c>
      <c r="I73" s="14">
        <f t="shared" si="19"/>
        <v>0</v>
      </c>
      <c r="J73" s="14">
        <f t="shared" si="19"/>
        <v>0</v>
      </c>
      <c r="K73" s="14">
        <f t="shared" si="19"/>
        <v>5270.8204379999997</v>
      </c>
      <c r="L73" s="14">
        <f t="shared" si="19"/>
        <v>0</v>
      </c>
      <c r="M73" s="14">
        <f t="shared" si="19"/>
        <v>0</v>
      </c>
      <c r="N73" s="14">
        <f t="shared" si="19"/>
        <v>0</v>
      </c>
      <c r="O73" s="14">
        <f t="shared" si="19"/>
        <v>0</v>
      </c>
    </row>
    <row r="74" spans="1:15" ht="15">
      <c r="A74" s="170"/>
      <c r="B74" s="172"/>
      <c r="C74" s="174"/>
      <c r="D74" s="170"/>
      <c r="E74" s="170"/>
      <c r="F74" s="170"/>
      <c r="G74" s="13" t="s">
        <v>37</v>
      </c>
      <c r="H74" s="14">
        <f>IF(H73&gt;0,H73,0)</f>
        <v>0</v>
      </c>
      <c r="I74" s="14">
        <f>IF(I73&gt;0,I73+H74,0)</f>
        <v>0</v>
      </c>
      <c r="J74" s="14">
        <f t="shared" ref="J74" si="197">IF(J73&gt;0,J73+I74,0)</f>
        <v>0</v>
      </c>
      <c r="K74" s="14">
        <f t="shared" ref="K74" si="198">IF(K73&gt;0,K73+J74,0)</f>
        <v>5270.8204379999997</v>
      </c>
      <c r="L74" s="14">
        <f t="shared" ref="L74" si="199">IF(L73&gt;0,L73+K74,0)</f>
        <v>0</v>
      </c>
      <c r="M74" s="14">
        <f t="shared" ref="M74" si="200">IF(M73&gt;0,M73+L74,0)</f>
        <v>0</v>
      </c>
      <c r="N74" s="14">
        <f t="shared" ref="N74" si="201">IF(N73&gt;0,N73+M74,0)</f>
        <v>0</v>
      </c>
      <c r="O74" s="14">
        <f t="shared" ref="O74" si="202">IF(O73&gt;0,O73+N74,0)</f>
        <v>0</v>
      </c>
    </row>
    <row r="75" spans="1:15" ht="15">
      <c r="A75" s="170">
        <v>34</v>
      </c>
      <c r="B75" s="172" t="str">
        <f>Orçamento!B255</f>
        <v>TUBULAÇÃO E CONDUTORES PARA LÍQUIDOS E GASES.</v>
      </c>
      <c r="C75" s="173">
        <f>Orçamento!J268</f>
        <v>6370.1711349999996</v>
      </c>
      <c r="D75" s="169">
        <f t="shared" ref="D75" si="203">F75-E75+1</f>
        <v>1</v>
      </c>
      <c r="E75" s="171">
        <v>5</v>
      </c>
      <c r="F75" s="171">
        <v>5</v>
      </c>
      <c r="G75" s="13" t="s">
        <v>32</v>
      </c>
      <c r="H75" s="14">
        <f t="shared" si="19"/>
        <v>0</v>
      </c>
      <c r="I75" s="14">
        <f t="shared" si="19"/>
        <v>0</v>
      </c>
      <c r="J75" s="14">
        <f t="shared" si="19"/>
        <v>0</v>
      </c>
      <c r="K75" s="14">
        <f t="shared" si="19"/>
        <v>0</v>
      </c>
      <c r="L75" s="14">
        <f t="shared" si="19"/>
        <v>6370.1711349999996</v>
      </c>
      <c r="M75" s="14">
        <f t="shared" si="19"/>
        <v>0</v>
      </c>
      <c r="N75" s="14">
        <f t="shared" si="19"/>
        <v>0</v>
      </c>
      <c r="O75" s="14">
        <f t="shared" si="19"/>
        <v>0</v>
      </c>
    </row>
    <row r="76" spans="1:15" ht="15">
      <c r="A76" s="170"/>
      <c r="B76" s="172"/>
      <c r="C76" s="174"/>
      <c r="D76" s="170"/>
      <c r="E76" s="170"/>
      <c r="F76" s="170"/>
      <c r="G76" s="13" t="s">
        <v>37</v>
      </c>
      <c r="H76" s="14">
        <f>IF(H75&gt;0,H75,0)</f>
        <v>0</v>
      </c>
      <c r="I76" s="14">
        <f>IF(I75&gt;0,I75+H76,0)</f>
        <v>0</v>
      </c>
      <c r="J76" s="14">
        <f t="shared" ref="J76" si="204">IF(J75&gt;0,J75+I76,0)</f>
        <v>0</v>
      </c>
      <c r="K76" s="14">
        <f t="shared" ref="K76" si="205">IF(K75&gt;0,K75+J76,0)</f>
        <v>0</v>
      </c>
      <c r="L76" s="14">
        <f t="shared" ref="L76" si="206">IF(L75&gt;0,L75+K76,0)</f>
        <v>6370.1711349999996</v>
      </c>
      <c r="M76" s="14">
        <f t="shared" ref="M76" si="207">IF(M75&gt;0,M75+L76,0)</f>
        <v>0</v>
      </c>
      <c r="N76" s="14">
        <f t="shared" ref="N76" si="208">IF(N75&gt;0,N75+M76,0)</f>
        <v>0</v>
      </c>
      <c r="O76" s="14">
        <f t="shared" ref="O76" si="209">IF(O75&gt;0,O75+N76,0)</f>
        <v>0</v>
      </c>
    </row>
    <row r="77" spans="1:15" ht="15">
      <c r="A77" s="170">
        <v>35</v>
      </c>
      <c r="B77" s="172" t="str">
        <f>Orçamento!B269</f>
        <v>VÁLVULAS E APARELHOS DE MEDIÇÃO E CONTROLE PARA LÍQUIDOS E GASES</v>
      </c>
      <c r="C77" s="173">
        <f>Orçamento!J276</f>
        <v>1487.760325</v>
      </c>
      <c r="D77" s="169">
        <f t="shared" ref="D77" si="210">F77-E77+1</f>
        <v>2</v>
      </c>
      <c r="E77" s="171">
        <v>6</v>
      </c>
      <c r="F77" s="171">
        <v>7</v>
      </c>
      <c r="G77" s="13" t="s">
        <v>32</v>
      </c>
      <c r="H77" s="14">
        <f t="shared" si="19"/>
        <v>0</v>
      </c>
      <c r="I77" s="14">
        <f t="shared" si="19"/>
        <v>0</v>
      </c>
      <c r="J77" s="14">
        <f t="shared" si="19"/>
        <v>0</v>
      </c>
      <c r="K77" s="14">
        <f t="shared" si="19"/>
        <v>0</v>
      </c>
      <c r="L77" s="14">
        <f t="shared" si="19"/>
        <v>0</v>
      </c>
      <c r="M77" s="14">
        <f t="shared" si="19"/>
        <v>743.88016249999998</v>
      </c>
      <c r="N77" s="14">
        <f t="shared" si="19"/>
        <v>743.88016249999998</v>
      </c>
      <c r="O77" s="14">
        <f t="shared" si="19"/>
        <v>0</v>
      </c>
    </row>
    <row r="78" spans="1:15" ht="15">
      <c r="A78" s="170"/>
      <c r="B78" s="172"/>
      <c r="C78" s="174"/>
      <c r="D78" s="170"/>
      <c r="E78" s="170"/>
      <c r="F78" s="170"/>
      <c r="G78" s="13" t="s">
        <v>37</v>
      </c>
      <c r="H78" s="14">
        <f>IF(H77&gt;0,H77,0)</f>
        <v>0</v>
      </c>
      <c r="I78" s="14">
        <f>IF(I77&gt;0,I77+H78,0)</f>
        <v>0</v>
      </c>
      <c r="J78" s="14">
        <f t="shared" ref="J78" si="211">IF(J77&gt;0,J77+I78,0)</f>
        <v>0</v>
      </c>
      <c r="K78" s="14">
        <f t="shared" ref="K78" si="212">IF(K77&gt;0,K77+J78,0)</f>
        <v>0</v>
      </c>
      <c r="L78" s="14">
        <f t="shared" ref="L78" si="213">IF(L77&gt;0,L77+K78,0)</f>
        <v>0</v>
      </c>
      <c r="M78" s="14">
        <f t="shared" ref="M78" si="214">IF(M77&gt;0,M77+L78,0)</f>
        <v>743.88016249999998</v>
      </c>
      <c r="N78" s="14">
        <f t="shared" ref="N78" si="215">IF(N77&gt;0,N77+M78,0)</f>
        <v>1487.760325</v>
      </c>
      <c r="O78" s="14">
        <f t="shared" ref="O78" si="216">IF(O77&gt;0,O77+N78,0)</f>
        <v>0</v>
      </c>
    </row>
    <row r="79" spans="1:15" ht="15">
      <c r="A79" s="170">
        <v>36</v>
      </c>
      <c r="B79" s="172" t="str">
        <f>Orçamento!B277</f>
        <v>RESERVATÓRIO E TANQUE PARA LÍQUIDOS E GASES</v>
      </c>
      <c r="C79" s="173">
        <f>Orçamento!J284</f>
        <v>846.39763600000003</v>
      </c>
      <c r="D79" s="169">
        <f t="shared" ref="D79" si="217">F79-E79+1</f>
        <v>1</v>
      </c>
      <c r="E79" s="171">
        <v>6</v>
      </c>
      <c r="F79" s="171">
        <v>6</v>
      </c>
      <c r="G79" s="13" t="s">
        <v>32</v>
      </c>
      <c r="H79" s="14">
        <f t="shared" si="19"/>
        <v>0</v>
      </c>
      <c r="I79" s="14">
        <f t="shared" si="19"/>
        <v>0</v>
      </c>
      <c r="J79" s="14">
        <f t="shared" si="19"/>
        <v>0</v>
      </c>
      <c r="K79" s="14">
        <f t="shared" si="19"/>
        <v>0</v>
      </c>
      <c r="L79" s="14">
        <f t="shared" si="19"/>
        <v>0</v>
      </c>
      <c r="M79" s="14">
        <f t="shared" si="19"/>
        <v>846.39763600000003</v>
      </c>
      <c r="N79" s="14">
        <f t="shared" si="19"/>
        <v>0</v>
      </c>
      <c r="O79" s="14">
        <f t="shared" si="19"/>
        <v>0</v>
      </c>
    </row>
    <row r="80" spans="1:15" ht="15">
      <c r="A80" s="170"/>
      <c r="B80" s="172"/>
      <c r="C80" s="174"/>
      <c r="D80" s="170"/>
      <c r="E80" s="170"/>
      <c r="F80" s="170"/>
      <c r="G80" s="13" t="s">
        <v>37</v>
      </c>
      <c r="H80" s="14">
        <f>IF(H79&gt;0,H79,0)</f>
        <v>0</v>
      </c>
      <c r="I80" s="14">
        <f>IF(I79&gt;0,I79+H80,0)</f>
        <v>0</v>
      </c>
      <c r="J80" s="14">
        <f t="shared" ref="J80" si="218">IF(J79&gt;0,J79+I80,0)</f>
        <v>0</v>
      </c>
      <c r="K80" s="14">
        <f t="shared" ref="K80" si="219">IF(K79&gt;0,K79+J80,0)</f>
        <v>0</v>
      </c>
      <c r="L80" s="14">
        <f t="shared" ref="L80" si="220">IF(L79&gt;0,L79+K80,0)</f>
        <v>0</v>
      </c>
      <c r="M80" s="14">
        <f t="shared" ref="M80" si="221">IF(M79&gt;0,M79+L80,0)</f>
        <v>846.39763600000003</v>
      </c>
      <c r="N80" s="14">
        <f t="shared" ref="N80" si="222">IF(N79&gt;0,N79+M80,0)</f>
        <v>0</v>
      </c>
      <c r="O80" s="14">
        <f t="shared" ref="O80" si="223">IF(O79&gt;0,O79+N80,0)</f>
        <v>0</v>
      </c>
    </row>
    <row r="81" spans="1:15" ht="15">
      <c r="A81" s="170">
        <v>37</v>
      </c>
      <c r="B81" s="172" t="str">
        <f>Orçamento!B285</f>
        <v>CAIXA, RALO, GRELHA E ACESSÓRIO HIDRÁULICO</v>
      </c>
      <c r="C81" s="173">
        <f>Orçamento!J294</f>
        <v>2173.8695339999999</v>
      </c>
      <c r="D81" s="169">
        <f t="shared" ref="D81" si="224">F81-E81+1</f>
        <v>2</v>
      </c>
      <c r="E81" s="171">
        <v>6</v>
      </c>
      <c r="F81" s="171">
        <v>7</v>
      </c>
      <c r="G81" s="13" t="s">
        <v>32</v>
      </c>
      <c r="H81" s="14">
        <f t="shared" si="19"/>
        <v>0</v>
      </c>
      <c r="I81" s="14">
        <f t="shared" si="19"/>
        <v>0</v>
      </c>
      <c r="J81" s="14">
        <f t="shared" si="19"/>
        <v>0</v>
      </c>
      <c r="K81" s="14">
        <f t="shared" si="19"/>
        <v>0</v>
      </c>
      <c r="L81" s="14">
        <f t="shared" si="19"/>
        <v>0</v>
      </c>
      <c r="M81" s="14">
        <f t="shared" si="19"/>
        <v>1086.934767</v>
      </c>
      <c r="N81" s="14">
        <f t="shared" si="19"/>
        <v>1086.934767</v>
      </c>
      <c r="O81" s="14">
        <f t="shared" si="19"/>
        <v>0</v>
      </c>
    </row>
    <row r="82" spans="1:15" ht="15">
      <c r="A82" s="170"/>
      <c r="B82" s="172"/>
      <c r="C82" s="174"/>
      <c r="D82" s="170"/>
      <c r="E82" s="170"/>
      <c r="F82" s="170"/>
      <c r="G82" s="13" t="s">
        <v>37</v>
      </c>
      <c r="H82" s="14">
        <f>IF(H81&gt;0,H81,0)</f>
        <v>0</v>
      </c>
      <c r="I82" s="14">
        <f>IF(I81&gt;0,I81+H82,0)</f>
        <v>0</v>
      </c>
      <c r="J82" s="14">
        <f t="shared" ref="J82" si="225">IF(J81&gt;0,J81+I82,0)</f>
        <v>0</v>
      </c>
      <c r="K82" s="14">
        <f t="shared" ref="K82" si="226">IF(K81&gt;0,K81+J82,0)</f>
        <v>0</v>
      </c>
      <c r="L82" s="14">
        <f t="shared" ref="L82" si="227">IF(L81&gt;0,L81+K82,0)</f>
        <v>0</v>
      </c>
      <c r="M82" s="14">
        <f t="shared" ref="M82" si="228">IF(M81&gt;0,M81+L82,0)</f>
        <v>1086.934767</v>
      </c>
      <c r="N82" s="14">
        <f t="shared" ref="N82" si="229">IF(N81&gt;0,N81+M82,0)</f>
        <v>2173.8695339999999</v>
      </c>
      <c r="O82" s="14">
        <f t="shared" ref="O82" si="230">IF(O81&gt;0,O81+N82,0)</f>
        <v>0</v>
      </c>
    </row>
    <row r="83" spans="1:15" ht="15">
      <c r="A83" s="170">
        <v>38</v>
      </c>
      <c r="B83" s="172" t="str">
        <f>Orçamento!B295</f>
        <v>DETECÇÃO, COMBATE E PREVENÇÃO A INCÊNDIO</v>
      </c>
      <c r="C83" s="173">
        <f>Orçamento!J304</f>
        <v>1569.152278</v>
      </c>
      <c r="D83" s="169">
        <f t="shared" ref="D83" si="231">F83-E83+1</f>
        <v>1</v>
      </c>
      <c r="E83" s="171">
        <v>8</v>
      </c>
      <c r="F83" s="171">
        <v>8</v>
      </c>
      <c r="G83" s="13" t="s">
        <v>32</v>
      </c>
      <c r="H83" s="14">
        <f t="shared" si="19"/>
        <v>0</v>
      </c>
      <c r="I83" s="14">
        <f t="shared" si="19"/>
        <v>0</v>
      </c>
      <c r="J83" s="14">
        <f t="shared" si="19"/>
        <v>0</v>
      </c>
      <c r="K83" s="14">
        <f t="shared" si="19"/>
        <v>0</v>
      </c>
      <c r="L83" s="14">
        <f t="shared" si="19"/>
        <v>0</v>
      </c>
      <c r="M83" s="14">
        <f t="shared" si="19"/>
        <v>0</v>
      </c>
      <c r="N83" s="14">
        <f t="shared" si="19"/>
        <v>0</v>
      </c>
      <c r="O83" s="14">
        <f t="shared" si="19"/>
        <v>1569.152278</v>
      </c>
    </row>
    <row r="84" spans="1:15" ht="15">
      <c r="A84" s="170"/>
      <c r="B84" s="172"/>
      <c r="C84" s="174"/>
      <c r="D84" s="170"/>
      <c r="E84" s="170"/>
      <c r="F84" s="170"/>
      <c r="G84" s="13" t="s">
        <v>37</v>
      </c>
      <c r="H84" s="14">
        <f>IF(H83&gt;0,H83,0)</f>
        <v>0</v>
      </c>
      <c r="I84" s="14">
        <f>IF(I83&gt;0,I83+H84,0)</f>
        <v>0</v>
      </c>
      <c r="J84" s="14">
        <f t="shared" ref="J84" si="232">IF(J83&gt;0,J83+I84,0)</f>
        <v>0</v>
      </c>
      <c r="K84" s="14">
        <f t="shared" ref="K84" si="233">IF(K83&gt;0,K83+J84,0)</f>
        <v>0</v>
      </c>
      <c r="L84" s="14">
        <f t="shared" ref="L84" si="234">IF(L83&gt;0,L83+K84,0)</f>
        <v>0</v>
      </c>
      <c r="M84" s="14">
        <f t="shared" ref="M84" si="235">IF(M83&gt;0,M83+L84,0)</f>
        <v>0</v>
      </c>
      <c r="N84" s="14">
        <f t="shared" ref="N84" si="236">IF(N83&gt;0,N83+M84,0)</f>
        <v>0</v>
      </c>
      <c r="O84" s="14">
        <f t="shared" ref="O84" si="237">IF(O83&gt;0,O83+N84,0)</f>
        <v>1569.152278</v>
      </c>
    </row>
    <row r="85" spans="1:15" ht="15">
      <c r="A85" s="170">
        <v>39</v>
      </c>
      <c r="B85" s="172" t="str">
        <f>Orçamento!B305</f>
        <v>PAVIMENTAÇÃO E PASSEIO</v>
      </c>
      <c r="C85" s="173">
        <f>Orçamento!J312</f>
        <v>4158.1017000000002</v>
      </c>
      <c r="D85" s="169">
        <f t="shared" ref="D85" si="238">F85-E85+1</f>
        <v>2</v>
      </c>
      <c r="E85" s="171">
        <v>3</v>
      </c>
      <c r="F85" s="171">
        <v>4</v>
      </c>
      <c r="G85" s="13" t="s">
        <v>32</v>
      </c>
      <c r="H85" s="14">
        <f t="shared" si="19"/>
        <v>0</v>
      </c>
      <c r="I85" s="14">
        <f t="shared" si="19"/>
        <v>0</v>
      </c>
      <c r="J85" s="14">
        <f t="shared" si="19"/>
        <v>2079.0508500000001</v>
      </c>
      <c r="K85" s="14">
        <f t="shared" si="19"/>
        <v>2079.0508500000001</v>
      </c>
      <c r="L85" s="14">
        <f t="shared" si="19"/>
        <v>0</v>
      </c>
      <c r="M85" s="14">
        <f t="shared" si="19"/>
        <v>0</v>
      </c>
      <c r="N85" s="14">
        <f t="shared" si="19"/>
        <v>0</v>
      </c>
      <c r="O85" s="14">
        <f t="shared" ref="O85" si="239">IF(IF(AND($E85&lt;=O$5,$F85&gt;=O$5)=TRUE,1,0)=1,$C85/$D85,0)</f>
        <v>0</v>
      </c>
    </row>
    <row r="86" spans="1:15" ht="15">
      <c r="A86" s="170"/>
      <c r="B86" s="172"/>
      <c r="C86" s="174"/>
      <c r="D86" s="170"/>
      <c r="E86" s="170"/>
      <c r="F86" s="170"/>
      <c r="G86" s="13" t="s">
        <v>37</v>
      </c>
      <c r="H86" s="14">
        <f>IF(H85&gt;0,H85,0)</f>
        <v>0</v>
      </c>
      <c r="I86" s="14">
        <f>IF(I85&gt;0,I85+H86,0)</f>
        <v>0</v>
      </c>
      <c r="J86" s="14">
        <f t="shared" ref="J86" si="240">IF(J85&gt;0,J85+I86,0)</f>
        <v>2079.0508500000001</v>
      </c>
      <c r="K86" s="14">
        <f t="shared" ref="K86" si="241">IF(K85&gt;0,K85+J86,0)</f>
        <v>4158.1017000000002</v>
      </c>
      <c r="L86" s="14">
        <f t="shared" ref="L86" si="242">IF(L85&gt;0,L85+K86,0)</f>
        <v>0</v>
      </c>
      <c r="M86" s="14">
        <f t="shared" ref="M86" si="243">IF(M85&gt;0,M85+L86,0)</f>
        <v>0</v>
      </c>
      <c r="N86" s="14">
        <f t="shared" ref="N86" si="244">IF(N85&gt;0,N85+M86,0)</f>
        <v>0</v>
      </c>
      <c r="O86" s="14">
        <f t="shared" ref="O86" si="245">IF(O85&gt;0,O85+N86,0)</f>
        <v>0</v>
      </c>
    </row>
    <row r="87" spans="1:15" ht="15">
      <c r="A87" s="170">
        <v>40</v>
      </c>
      <c r="B87" s="172" t="str">
        <f>Orçamento!B313</f>
        <v>SINALIZAÇÃO E COMUNICAÇÃO VISUAL</v>
      </c>
      <c r="C87" s="173">
        <f>Orçamento!J317</f>
        <v>170.68</v>
      </c>
      <c r="D87" s="169">
        <f t="shared" ref="D87" si="246">F87-E87+1</f>
        <v>1</v>
      </c>
      <c r="E87" s="171">
        <v>8</v>
      </c>
      <c r="F87" s="171">
        <v>8</v>
      </c>
      <c r="G87" s="13" t="s">
        <v>32</v>
      </c>
      <c r="H87" s="14">
        <f t="shared" ref="H87:O87" si="247">IF(IF(AND($E87&lt;=H$5,$F87&gt;=H$5)=TRUE,1,0)=1,$C87/$D87,0)</f>
        <v>0</v>
      </c>
      <c r="I87" s="14">
        <f t="shared" si="247"/>
        <v>0</v>
      </c>
      <c r="J87" s="14">
        <f t="shared" si="247"/>
        <v>0</v>
      </c>
      <c r="K87" s="14">
        <f t="shared" si="247"/>
        <v>0</v>
      </c>
      <c r="L87" s="14">
        <f t="shared" si="247"/>
        <v>0</v>
      </c>
      <c r="M87" s="14">
        <f t="shared" si="247"/>
        <v>0</v>
      </c>
      <c r="N87" s="14">
        <f t="shared" si="247"/>
        <v>0</v>
      </c>
      <c r="O87" s="14">
        <f t="shared" si="247"/>
        <v>170.68</v>
      </c>
    </row>
    <row r="88" spans="1:15" ht="15">
      <c r="A88" s="170"/>
      <c r="B88" s="172"/>
      <c r="C88" s="174"/>
      <c r="D88" s="170"/>
      <c r="E88" s="170"/>
      <c r="F88" s="170"/>
      <c r="G88" s="13" t="s">
        <v>37</v>
      </c>
      <c r="H88" s="14">
        <f>IF(H87&gt;0,H87,0)</f>
        <v>0</v>
      </c>
      <c r="I88" s="14">
        <f>IF(I87&gt;0,I87+H88,0)</f>
        <v>0</v>
      </c>
      <c r="J88" s="14">
        <f t="shared" ref="J88" si="248">IF(J87&gt;0,J87+I88,0)</f>
        <v>0</v>
      </c>
      <c r="K88" s="14">
        <f t="shared" ref="K88" si="249">IF(K87&gt;0,K87+J88,0)</f>
        <v>0</v>
      </c>
      <c r="L88" s="14">
        <f t="shared" ref="L88" si="250">IF(L87&gt;0,L87+K88,0)</f>
        <v>0</v>
      </c>
      <c r="M88" s="14">
        <f t="shared" ref="M88" si="251">IF(M87&gt;0,M87+L88,0)</f>
        <v>0</v>
      </c>
      <c r="N88" s="14">
        <f t="shared" ref="N88" si="252">IF(N87&gt;0,N87+M88,0)</f>
        <v>0</v>
      </c>
      <c r="O88" s="14">
        <f t="shared" ref="O88" si="253">IF(O87&gt;0,O87+N88,0)</f>
        <v>170.68</v>
      </c>
    </row>
    <row r="89" spans="1:15" ht="15.75">
      <c r="A89" s="15"/>
      <c r="B89" s="175" t="s">
        <v>38</v>
      </c>
      <c r="C89" s="177">
        <f>SUM(C9:C88)</f>
        <v>240291.1301759812</v>
      </c>
      <c r="D89" s="179">
        <f t="shared" ref="D89" si="254">F89-E89+1</f>
        <v>8</v>
      </c>
      <c r="E89" s="181">
        <v>1</v>
      </c>
      <c r="F89" s="181">
        <v>8</v>
      </c>
      <c r="G89" s="16" t="s">
        <v>32</v>
      </c>
      <c r="H89" s="17">
        <f>H9+H11+H13+H15+H17+H19+H21+H23+H25+H27+H29+H31+H33+H37+H39+H41+H43+H45+H47+H49+H51+H53+H55+H57+H59+H61+H63+H65+H67+H69+H71+H73+H75+H77+H79+H81+H83+H85+H87</f>
        <v>13298.833485519237</v>
      </c>
      <c r="I89" s="17">
        <f t="shared" ref="I89:O89" si="255">I9+I11+I13+I15+I17+I19+I21+I23+I25+I27+I29+I31+I33+I37+I39+I41+I43+I45+I47+I49+I51+I53+I55+I57+I59+I61+I63+I65+I67+I69+I71+I73+I75+I77+I79+I81+I83+I85+I87</f>
        <v>11401.252199769238</v>
      </c>
      <c r="J89" s="17">
        <f t="shared" si="255"/>
        <v>17536.42142526924</v>
      </c>
      <c r="K89" s="17">
        <f t="shared" si="255"/>
        <v>25410.871604019234</v>
      </c>
      <c r="L89" s="17">
        <f>L17+L23+L25+L29+L35+L49+L53+L75</f>
        <v>30049.330481089233</v>
      </c>
      <c r="M89" s="17">
        <f t="shared" si="255"/>
        <v>64836.803268385011</v>
      </c>
      <c r="N89" s="17">
        <f t="shared" si="255"/>
        <v>42493.056425714996</v>
      </c>
      <c r="O89" s="17">
        <f t="shared" si="255"/>
        <v>35264.561286215008</v>
      </c>
    </row>
    <row r="90" spans="1:15" ht="15.75">
      <c r="A90" s="18"/>
      <c r="B90" s="176"/>
      <c r="C90" s="178"/>
      <c r="D90" s="180"/>
      <c r="E90" s="181"/>
      <c r="F90" s="181"/>
      <c r="G90" s="16" t="s">
        <v>37</v>
      </c>
      <c r="H90" s="17">
        <f>H89</f>
        <v>13298.833485519237</v>
      </c>
      <c r="I90" s="17">
        <f>H90+I89</f>
        <v>24700.085685288475</v>
      </c>
      <c r="J90" s="17">
        <f t="shared" ref="J90:M90" si="256">I90+J89</f>
        <v>42236.507110557715</v>
      </c>
      <c r="K90" s="17">
        <f t="shared" si="256"/>
        <v>67647.378714576946</v>
      </c>
      <c r="L90" s="17">
        <f t="shared" si="256"/>
        <v>97696.709195666175</v>
      </c>
      <c r="M90" s="17">
        <f t="shared" si="256"/>
        <v>162533.51246405119</v>
      </c>
      <c r="N90" s="17">
        <f t="shared" ref="N90" si="257">M90+N89</f>
        <v>205026.56888976617</v>
      </c>
      <c r="O90" s="17">
        <f t="shared" ref="O90" si="258">N90+O89</f>
        <v>240291.13017598118</v>
      </c>
    </row>
  </sheetData>
  <mergeCells count="256"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  <mergeCell ref="A13:A14"/>
    <mergeCell ref="C13:C14"/>
    <mergeCell ref="D13:D14"/>
    <mergeCell ref="E13:E14"/>
    <mergeCell ref="F13:F14"/>
    <mergeCell ref="B13:B14"/>
    <mergeCell ref="A9:A10"/>
    <mergeCell ref="C11:C12"/>
    <mergeCell ref="D11:D12"/>
    <mergeCell ref="E11:E12"/>
    <mergeCell ref="F11:F12"/>
    <mergeCell ref="A11:A12"/>
    <mergeCell ref="B11:B12"/>
    <mergeCell ref="B9:B10"/>
    <mergeCell ref="C9:C10"/>
    <mergeCell ref="D9:D10"/>
    <mergeCell ref="E9:E10"/>
    <mergeCell ref="F9:F10"/>
    <mergeCell ref="F17:F18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B15:B16"/>
    <mergeCell ref="B17:B18"/>
    <mergeCell ref="F21:F22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B19:B20"/>
    <mergeCell ref="B21:B22"/>
    <mergeCell ref="A23:A24"/>
    <mergeCell ref="A25:A26"/>
    <mergeCell ref="A27:A28"/>
    <mergeCell ref="A29:A30"/>
    <mergeCell ref="B89:B90"/>
    <mergeCell ref="C89:C90"/>
    <mergeCell ref="D89:D90"/>
    <mergeCell ref="E89:E90"/>
    <mergeCell ref="F89:F90"/>
    <mergeCell ref="C23:C24"/>
    <mergeCell ref="C25:C26"/>
    <mergeCell ref="C27:C28"/>
    <mergeCell ref="C29:C30"/>
    <mergeCell ref="C39:C40"/>
    <mergeCell ref="B23:B24"/>
    <mergeCell ref="B25:B26"/>
    <mergeCell ref="B27:B28"/>
    <mergeCell ref="B29:B30"/>
    <mergeCell ref="B39:B40"/>
    <mergeCell ref="C31:C32"/>
    <mergeCell ref="C33:C34"/>
    <mergeCell ref="C37:C38"/>
    <mergeCell ref="A41:A42"/>
    <mergeCell ref="A43:A44"/>
    <mergeCell ref="A31:A32"/>
    <mergeCell ref="A33:A34"/>
    <mergeCell ref="A37:A38"/>
    <mergeCell ref="B31:B32"/>
    <mergeCell ref="B33:B34"/>
    <mergeCell ref="B37:B38"/>
    <mergeCell ref="A39:A40"/>
    <mergeCell ref="B41:B42"/>
    <mergeCell ref="C41:C42"/>
    <mergeCell ref="A35:A36"/>
    <mergeCell ref="B35:B36"/>
    <mergeCell ref="C35:C36"/>
    <mergeCell ref="B43:B44"/>
    <mergeCell ref="C43:C44"/>
    <mergeCell ref="B45:B46"/>
    <mergeCell ref="C45:C46"/>
    <mergeCell ref="B47:B48"/>
    <mergeCell ref="C47:C48"/>
    <mergeCell ref="B55:B56"/>
    <mergeCell ref="C55:C56"/>
    <mergeCell ref="B49:B50"/>
    <mergeCell ref="C49:C50"/>
    <mergeCell ref="A51:A52"/>
    <mergeCell ref="B51:B52"/>
    <mergeCell ref="C51:C52"/>
    <mergeCell ref="A53:A54"/>
    <mergeCell ref="B53:B54"/>
    <mergeCell ref="C53:C54"/>
    <mergeCell ref="A45:A46"/>
    <mergeCell ref="A47:A48"/>
    <mergeCell ref="A55:A56"/>
    <mergeCell ref="A49:A50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75:A76"/>
    <mergeCell ref="B75:B76"/>
    <mergeCell ref="C75:C76"/>
    <mergeCell ref="A77:A78"/>
    <mergeCell ref="B77:B78"/>
    <mergeCell ref="C77:C78"/>
    <mergeCell ref="A65:A66"/>
    <mergeCell ref="B65:B66"/>
    <mergeCell ref="C65:C66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F23:F24"/>
    <mergeCell ref="D25:D26"/>
    <mergeCell ref="E25:E26"/>
    <mergeCell ref="F25:F26"/>
    <mergeCell ref="D27:D28"/>
    <mergeCell ref="E27:E28"/>
    <mergeCell ref="F27:F28"/>
    <mergeCell ref="A87:A88"/>
    <mergeCell ref="B87:B88"/>
    <mergeCell ref="C87:C88"/>
    <mergeCell ref="D23:D24"/>
    <mergeCell ref="E23:E24"/>
    <mergeCell ref="D29:D30"/>
    <mergeCell ref="E29:E30"/>
    <mergeCell ref="D37:D38"/>
    <mergeCell ref="E37:E38"/>
    <mergeCell ref="D43:D44"/>
    <mergeCell ref="E43:E44"/>
    <mergeCell ref="D49:D50"/>
    <mergeCell ref="E49:E50"/>
    <mergeCell ref="D55:D56"/>
    <mergeCell ref="E55:E56"/>
    <mergeCell ref="D61:D62"/>
    <mergeCell ref="A83:A84"/>
    <mergeCell ref="F37:F38"/>
    <mergeCell ref="D39:D40"/>
    <mergeCell ref="E39:E40"/>
    <mergeCell ref="F39:F40"/>
    <mergeCell ref="D41:D42"/>
    <mergeCell ref="E41:E42"/>
    <mergeCell ref="F41:F42"/>
    <mergeCell ref="F29:F30"/>
    <mergeCell ref="D31:D32"/>
    <mergeCell ref="E31:E32"/>
    <mergeCell ref="F31:F32"/>
    <mergeCell ref="D33:D34"/>
    <mergeCell ref="E33:E34"/>
    <mergeCell ref="F33:F34"/>
    <mergeCell ref="D35:D36"/>
    <mergeCell ref="E35:E36"/>
    <mergeCell ref="F35:F36"/>
    <mergeCell ref="F49:F50"/>
    <mergeCell ref="D51:D52"/>
    <mergeCell ref="E51:E52"/>
    <mergeCell ref="F51:F52"/>
    <mergeCell ref="D53:D54"/>
    <mergeCell ref="E53:E54"/>
    <mergeCell ref="F53:F54"/>
    <mergeCell ref="F43:F44"/>
    <mergeCell ref="D45:D46"/>
    <mergeCell ref="E45:E46"/>
    <mergeCell ref="F45:F46"/>
    <mergeCell ref="D47:D48"/>
    <mergeCell ref="E47:E48"/>
    <mergeCell ref="F47:F48"/>
    <mergeCell ref="E61:E62"/>
    <mergeCell ref="F61:F62"/>
    <mergeCell ref="D63:D64"/>
    <mergeCell ref="E63:E64"/>
    <mergeCell ref="F63:F64"/>
    <mergeCell ref="F55:F56"/>
    <mergeCell ref="D57:D58"/>
    <mergeCell ref="E57:E58"/>
    <mergeCell ref="F57:F58"/>
    <mergeCell ref="D59:D60"/>
    <mergeCell ref="E59:E60"/>
    <mergeCell ref="F59:F60"/>
    <mergeCell ref="D69:D70"/>
    <mergeCell ref="E69:E70"/>
    <mergeCell ref="F69:F70"/>
    <mergeCell ref="D71:D72"/>
    <mergeCell ref="E71:E72"/>
    <mergeCell ref="F71:F72"/>
    <mergeCell ref="D65:D66"/>
    <mergeCell ref="E65:E66"/>
    <mergeCell ref="F65:F66"/>
    <mergeCell ref="D67:D68"/>
    <mergeCell ref="E67:E68"/>
    <mergeCell ref="F67:F68"/>
    <mergeCell ref="D77:D78"/>
    <mergeCell ref="E77:E78"/>
    <mergeCell ref="F77:F78"/>
    <mergeCell ref="D79:D80"/>
    <mergeCell ref="E79:E80"/>
    <mergeCell ref="F79:F80"/>
    <mergeCell ref="D73:D74"/>
    <mergeCell ref="E73:E74"/>
    <mergeCell ref="F73:F74"/>
    <mergeCell ref="D75:D76"/>
    <mergeCell ref="E75:E76"/>
    <mergeCell ref="F75:F76"/>
    <mergeCell ref="D85:D86"/>
    <mergeCell ref="E85:E86"/>
    <mergeCell ref="F85:F86"/>
    <mergeCell ref="D87:D88"/>
    <mergeCell ref="E87:E88"/>
    <mergeCell ref="F87:F88"/>
    <mergeCell ref="D81:D82"/>
    <mergeCell ref="E81:E82"/>
    <mergeCell ref="F81:F82"/>
    <mergeCell ref="D83:D84"/>
    <mergeCell ref="E83:E84"/>
    <mergeCell ref="F83:F84"/>
  </mergeCells>
  <conditionalFormatting sqref="H6:O8">
    <cfRule type="cellIs" dxfId="34" priority="35" operator="equal">
      <formula>1</formula>
    </cfRule>
  </conditionalFormatting>
  <conditionalFormatting sqref="H6:O6">
    <cfRule type="cellIs" dxfId="33" priority="34" operator="equal">
      <formula>1</formula>
    </cfRule>
  </conditionalFormatting>
  <conditionalFormatting sqref="H7:O8">
    <cfRule type="cellIs" dxfId="32" priority="33" operator="equal">
      <formula>1</formula>
    </cfRule>
  </conditionalFormatting>
  <conditionalFormatting sqref="H9:O26">
    <cfRule type="cellIs" dxfId="31" priority="32" operator="notEqual">
      <formula>0</formula>
    </cfRule>
  </conditionalFormatting>
  <conditionalFormatting sqref="H27:O28">
    <cfRule type="cellIs" dxfId="30" priority="31" operator="notEqual">
      <formula>0</formula>
    </cfRule>
  </conditionalFormatting>
  <conditionalFormatting sqref="H29:O30">
    <cfRule type="cellIs" dxfId="29" priority="30" operator="notEqual">
      <formula>0</formula>
    </cfRule>
  </conditionalFormatting>
  <conditionalFormatting sqref="H31:O32">
    <cfRule type="cellIs" dxfId="28" priority="29" operator="notEqual">
      <formula>0</formula>
    </cfRule>
  </conditionalFormatting>
  <conditionalFormatting sqref="H33:O34 O35:O36">
    <cfRule type="cellIs" dxfId="27" priority="28" operator="notEqual">
      <formula>0</formula>
    </cfRule>
  </conditionalFormatting>
  <conditionalFormatting sqref="H37:O38">
    <cfRule type="cellIs" dxfId="26" priority="27" operator="notEqual">
      <formula>0</formula>
    </cfRule>
  </conditionalFormatting>
  <conditionalFormatting sqref="H39:O40">
    <cfRule type="cellIs" dxfId="25" priority="26" operator="notEqual">
      <formula>0</formula>
    </cfRule>
  </conditionalFormatting>
  <conditionalFormatting sqref="H41:O42">
    <cfRule type="cellIs" dxfId="24" priority="25" operator="notEqual">
      <formula>0</formula>
    </cfRule>
  </conditionalFormatting>
  <conditionalFormatting sqref="H43:O44">
    <cfRule type="cellIs" dxfId="23" priority="24" operator="notEqual">
      <formula>0</formula>
    </cfRule>
  </conditionalFormatting>
  <conditionalFormatting sqref="H45:O46">
    <cfRule type="cellIs" dxfId="22" priority="23" operator="notEqual">
      <formula>0</formula>
    </cfRule>
  </conditionalFormatting>
  <conditionalFormatting sqref="H47:O48">
    <cfRule type="cellIs" dxfId="21" priority="22" operator="notEqual">
      <formula>0</formula>
    </cfRule>
  </conditionalFormatting>
  <conditionalFormatting sqref="H49:O50">
    <cfRule type="cellIs" dxfId="20" priority="21" operator="notEqual">
      <formula>0</formula>
    </cfRule>
  </conditionalFormatting>
  <conditionalFormatting sqref="H51:O52">
    <cfRule type="cellIs" dxfId="19" priority="20" operator="notEqual">
      <formula>0</formula>
    </cfRule>
  </conditionalFormatting>
  <conditionalFormatting sqref="H53:O54">
    <cfRule type="cellIs" dxfId="18" priority="19" operator="notEqual">
      <formula>0</formula>
    </cfRule>
  </conditionalFormatting>
  <conditionalFormatting sqref="H55:O56">
    <cfRule type="cellIs" dxfId="17" priority="18" operator="notEqual">
      <formula>0</formula>
    </cfRule>
  </conditionalFormatting>
  <conditionalFormatting sqref="H57:O58">
    <cfRule type="cellIs" dxfId="16" priority="17" operator="notEqual">
      <formula>0</formula>
    </cfRule>
  </conditionalFormatting>
  <conditionalFormatting sqref="H59:O60">
    <cfRule type="cellIs" dxfId="15" priority="16" operator="notEqual">
      <formula>0</formula>
    </cfRule>
  </conditionalFormatting>
  <conditionalFormatting sqref="H61:O62">
    <cfRule type="cellIs" dxfId="14" priority="15" operator="notEqual">
      <formula>0</formula>
    </cfRule>
  </conditionalFormatting>
  <conditionalFormatting sqref="H63:O64">
    <cfRule type="cellIs" dxfId="13" priority="14" operator="notEqual">
      <formula>0</formula>
    </cfRule>
  </conditionalFormatting>
  <conditionalFormatting sqref="H65:O66">
    <cfRule type="cellIs" dxfId="12" priority="13" operator="notEqual">
      <formula>0</formula>
    </cfRule>
  </conditionalFormatting>
  <conditionalFormatting sqref="H67:O68">
    <cfRule type="cellIs" dxfId="11" priority="12" operator="notEqual">
      <formula>0</formula>
    </cfRule>
  </conditionalFormatting>
  <conditionalFormatting sqref="H69:O70">
    <cfRule type="cellIs" dxfId="10" priority="11" operator="notEqual">
      <formula>0</formula>
    </cfRule>
  </conditionalFormatting>
  <conditionalFormatting sqref="H71:O72">
    <cfRule type="cellIs" dxfId="9" priority="10" operator="notEqual">
      <formula>0</formula>
    </cfRule>
  </conditionalFormatting>
  <conditionalFormatting sqref="H73:O74">
    <cfRule type="cellIs" dxfId="8" priority="9" operator="notEqual">
      <formula>0</formula>
    </cfRule>
  </conditionalFormatting>
  <conditionalFormatting sqref="H75:O76">
    <cfRule type="cellIs" dxfId="7" priority="8" operator="notEqual">
      <formula>0</formula>
    </cfRule>
  </conditionalFormatting>
  <conditionalFormatting sqref="H77:O78">
    <cfRule type="cellIs" dxfId="6" priority="7" operator="notEqual">
      <formula>0</formula>
    </cfRule>
  </conditionalFormatting>
  <conditionalFormatting sqref="H79:O80">
    <cfRule type="cellIs" dxfId="5" priority="6" operator="notEqual">
      <formula>0</formula>
    </cfRule>
  </conditionalFormatting>
  <conditionalFormatting sqref="H81:O82">
    <cfRule type="cellIs" dxfId="4" priority="5" operator="notEqual">
      <formula>0</formula>
    </cfRule>
  </conditionalFormatting>
  <conditionalFormatting sqref="H83:O84">
    <cfRule type="cellIs" dxfId="3" priority="4" operator="notEqual">
      <formula>0</formula>
    </cfRule>
  </conditionalFormatting>
  <conditionalFormatting sqref="H85:O86">
    <cfRule type="cellIs" dxfId="2" priority="3" operator="notEqual">
      <formula>0</formula>
    </cfRule>
  </conditionalFormatting>
  <conditionalFormatting sqref="H87:O88">
    <cfRule type="cellIs" dxfId="1" priority="2" operator="notEqual">
      <formula>0</formula>
    </cfRule>
  </conditionalFormatting>
  <conditionalFormatting sqref="H35:N36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Físico-Financeiro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User</cp:lastModifiedBy>
  <cp:lastPrinted>2020-12-04T17:04:59Z</cp:lastPrinted>
  <dcterms:created xsi:type="dcterms:W3CDTF">2018-04-06T14:41:31Z</dcterms:created>
  <dcterms:modified xsi:type="dcterms:W3CDTF">2020-12-30T21:05:20Z</dcterms:modified>
</cp:coreProperties>
</file>