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0\Users\User\Desktop\2018\2021\Projetos Diversos\Área das Antenas\"/>
    </mc:Choice>
  </mc:AlternateContent>
  <bookViews>
    <workbookView xWindow="0" yWindow="0" windowWidth="20400" windowHeight="7020"/>
  </bookViews>
  <sheets>
    <sheet name="PPU" sheetId="1" r:id="rId1"/>
    <sheet name="CRONOGRAM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2" l="1"/>
  <c r="J71" i="2"/>
  <c r="K71" i="2"/>
  <c r="L71" i="2"/>
  <c r="M71" i="2"/>
  <c r="N71" i="2"/>
  <c r="O71" i="2"/>
  <c r="H71" i="2"/>
  <c r="J227" i="1"/>
  <c r="A6" i="2" l="1"/>
  <c r="G115" i="1"/>
  <c r="G190" i="1" l="1"/>
  <c r="G189" i="1"/>
  <c r="G188" i="1"/>
  <c r="G187" i="1"/>
  <c r="G183" i="1"/>
  <c r="G184" i="1"/>
  <c r="G185" i="1"/>
  <c r="G182" i="1"/>
  <c r="I180" i="1"/>
  <c r="G180" i="1"/>
  <c r="G176" i="1"/>
  <c r="G177" i="1"/>
  <c r="G178" i="1"/>
  <c r="G175" i="1"/>
  <c r="G198" i="1"/>
  <c r="G196" i="1"/>
  <c r="G194" i="1"/>
  <c r="G221" i="1"/>
  <c r="G219" i="1"/>
  <c r="G215" i="1"/>
  <c r="G209" i="1"/>
  <c r="G207" i="1"/>
  <c r="G201" i="1"/>
  <c r="G202" i="1"/>
  <c r="G203" i="1"/>
  <c r="G200" i="1"/>
  <c r="G224" i="1"/>
  <c r="H224" i="1" s="1"/>
  <c r="J224" i="1" s="1"/>
  <c r="G225" i="1"/>
  <c r="H225" i="1" s="1"/>
  <c r="J225" i="1" s="1"/>
  <c r="G223" i="1"/>
  <c r="G171" i="1"/>
  <c r="G167" i="1"/>
  <c r="G166" i="1"/>
  <c r="G149" i="1"/>
  <c r="G147" i="1"/>
  <c r="G146" i="1"/>
  <c r="G142" i="1"/>
  <c r="G99" i="1"/>
  <c r="G95" i="1"/>
  <c r="G91" i="1"/>
  <c r="G89" i="1"/>
  <c r="I85" i="1"/>
  <c r="G85" i="1"/>
  <c r="H223" i="1" l="1"/>
  <c r="J223" i="1" s="1"/>
  <c r="G213" i="1"/>
  <c r="G140" i="1"/>
  <c r="H140" i="1" s="1"/>
  <c r="J140" i="1" s="1"/>
  <c r="G124" i="1"/>
  <c r="G152" i="1"/>
  <c r="H152" i="1" s="1"/>
  <c r="J152" i="1" s="1"/>
  <c r="G151" i="1"/>
  <c r="H151" i="1" s="1"/>
  <c r="J151" i="1" s="1"/>
  <c r="G160" i="1"/>
  <c r="G158" i="1"/>
  <c r="G162" i="1"/>
  <c r="G154" i="1" l="1"/>
  <c r="H154" i="1" s="1"/>
  <c r="G128" i="1"/>
  <c r="G136" i="1"/>
  <c r="H136" i="1" s="1"/>
  <c r="J136" i="1" s="1"/>
  <c r="G137" i="1"/>
  <c r="H137" i="1" s="1"/>
  <c r="J137" i="1" s="1"/>
  <c r="G138" i="1"/>
  <c r="G135" i="1"/>
  <c r="H135" i="1" s="1"/>
  <c r="J135" i="1" s="1"/>
  <c r="G122" i="1"/>
  <c r="H122" i="1" s="1"/>
  <c r="J122" i="1" s="1"/>
  <c r="G121" i="1"/>
  <c r="H121" i="1" s="1"/>
  <c r="J121" i="1" s="1"/>
  <c r="G119" i="1"/>
  <c r="G83" i="1"/>
  <c r="G79" i="1"/>
  <c r="G75" i="1"/>
  <c r="G69" i="1"/>
  <c r="G70" i="1"/>
  <c r="G71" i="1"/>
  <c r="G68" i="1"/>
  <c r="G64" i="1"/>
  <c r="G63" i="1"/>
  <c r="G59" i="1"/>
  <c r="G57" i="1"/>
  <c r="G49" i="1"/>
  <c r="I44" i="1"/>
  <c r="I45" i="1"/>
  <c r="G45" i="1"/>
  <c r="G44" i="1"/>
  <c r="H44" i="1" s="1"/>
  <c r="G37" i="1"/>
  <c r="G38" i="1"/>
  <c r="G39" i="1"/>
  <c r="G40" i="1"/>
  <c r="G36" i="1"/>
  <c r="G34" i="1"/>
  <c r="G33" i="1"/>
  <c r="G29" i="1"/>
  <c r="G25" i="1"/>
  <c r="G23" i="1"/>
  <c r="G19" i="1"/>
  <c r="G18" i="1"/>
  <c r="G17" i="1"/>
  <c r="G13" i="1"/>
  <c r="G11" i="1"/>
  <c r="J154" i="1" l="1"/>
  <c r="J44" i="1"/>
  <c r="I111" i="1"/>
  <c r="I109" i="1"/>
  <c r="G106" i="1"/>
  <c r="H106" i="1" s="1"/>
  <c r="G107" i="1"/>
  <c r="H107" i="1" s="1"/>
  <c r="G109" i="1"/>
  <c r="H109" i="1" s="1"/>
  <c r="G111" i="1"/>
  <c r="H111" i="1" s="1"/>
  <c r="I104" i="1"/>
  <c r="I107" i="1" s="1"/>
  <c r="I103" i="1"/>
  <c r="I106" i="1" s="1"/>
  <c r="G104" i="1"/>
  <c r="H104" i="1" s="1"/>
  <c r="G103" i="1"/>
  <c r="H103" i="1" s="1"/>
  <c r="I99" i="1"/>
  <c r="I91" i="1"/>
  <c r="I83" i="1"/>
  <c r="I75" i="1"/>
  <c r="I69" i="1"/>
  <c r="I71" i="1" s="1"/>
  <c r="I68" i="1"/>
  <c r="I70" i="1" s="1"/>
  <c r="I59" i="1"/>
  <c r="I49" i="1"/>
  <c r="I63" i="1" s="1"/>
  <c r="I18" i="1"/>
  <c r="I34" i="1"/>
  <c r="I17" i="1"/>
  <c r="I40" i="1"/>
  <c r="I37" i="1"/>
  <c r="I38" i="1"/>
  <c r="I39" i="1"/>
  <c r="I33" i="1"/>
  <c r="I29" i="1"/>
  <c r="I23" i="1"/>
  <c r="I19" i="1" l="1"/>
  <c r="J107" i="1"/>
  <c r="J103" i="1"/>
  <c r="I149" i="1"/>
  <c r="H85" i="1" l="1"/>
  <c r="J85" i="1" s="1"/>
  <c r="H69" i="2" l="1"/>
  <c r="H70" i="2" s="1"/>
  <c r="D69" i="2"/>
  <c r="H67" i="2"/>
  <c r="H68" i="2" s="1"/>
  <c r="D67" i="2"/>
  <c r="H65" i="2"/>
  <c r="H66" i="2" s="1"/>
  <c r="D65" i="2"/>
  <c r="H63" i="2"/>
  <c r="H64" i="2" s="1"/>
  <c r="D63" i="2"/>
  <c r="H61" i="2"/>
  <c r="H62" i="2" s="1"/>
  <c r="D61" i="2"/>
  <c r="H59" i="2"/>
  <c r="H60" i="2" s="1"/>
  <c r="D59" i="2"/>
  <c r="H57" i="2"/>
  <c r="H58" i="2" s="1"/>
  <c r="D57" i="2"/>
  <c r="H55" i="2"/>
  <c r="H56" i="2" s="1"/>
  <c r="D55" i="2"/>
  <c r="H53" i="2"/>
  <c r="H54" i="2" s="1"/>
  <c r="D53" i="2"/>
  <c r="H51" i="2"/>
  <c r="H52" i="2" s="1"/>
  <c r="D51" i="2"/>
  <c r="H49" i="2"/>
  <c r="H50" i="2" s="1"/>
  <c r="D49" i="2"/>
  <c r="H47" i="2"/>
  <c r="H48" i="2" s="1"/>
  <c r="D47" i="2"/>
  <c r="H45" i="2"/>
  <c r="H46" i="2" s="1"/>
  <c r="D45" i="2"/>
  <c r="H43" i="2"/>
  <c r="H44" i="2" s="1"/>
  <c r="D43" i="2"/>
  <c r="H41" i="2"/>
  <c r="H42" i="2" s="1"/>
  <c r="D41" i="2"/>
  <c r="H39" i="2"/>
  <c r="H40" i="2" s="1"/>
  <c r="D39" i="2"/>
  <c r="H37" i="2"/>
  <c r="H38" i="2" s="1"/>
  <c r="D37" i="2"/>
  <c r="H35" i="2"/>
  <c r="H36" i="2" s="1"/>
  <c r="D35" i="2"/>
  <c r="H33" i="2"/>
  <c r="H34" i="2" s="1"/>
  <c r="D33" i="2"/>
  <c r="H31" i="2"/>
  <c r="H32" i="2" s="1"/>
  <c r="D31" i="2"/>
  <c r="H29" i="2"/>
  <c r="H30" i="2" s="1"/>
  <c r="D29" i="2"/>
  <c r="H27" i="2"/>
  <c r="H28" i="2" s="1"/>
  <c r="D27" i="2"/>
  <c r="H25" i="2"/>
  <c r="H26" i="2" s="1"/>
  <c r="D25" i="2"/>
  <c r="D23" i="2"/>
  <c r="H23" i="2"/>
  <c r="H24" i="2" s="1"/>
  <c r="D21" i="2"/>
  <c r="H21" i="2"/>
  <c r="H22" i="2" s="1"/>
  <c r="D17" i="2"/>
  <c r="D19" i="2"/>
  <c r="D11" i="2"/>
  <c r="D13" i="2"/>
  <c r="D15" i="2"/>
  <c r="D9" i="2"/>
  <c r="B82" i="1"/>
  <c r="B69" i="2"/>
  <c r="B67" i="2"/>
  <c r="B65" i="2"/>
  <c r="B63" i="2"/>
  <c r="B61" i="2"/>
  <c r="B59" i="2"/>
  <c r="B57" i="2"/>
  <c r="B55" i="2"/>
  <c r="B53" i="2"/>
  <c r="B51" i="2"/>
  <c r="B49" i="2"/>
  <c r="B47" i="2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B11" i="2"/>
  <c r="B9" i="2"/>
  <c r="B13" i="2"/>
  <c r="G53" i="1" l="1"/>
  <c r="H40" i="1"/>
  <c r="J40" i="1" s="1"/>
  <c r="H198" i="1"/>
  <c r="J198" i="1" s="1"/>
  <c r="H200" i="1"/>
  <c r="J200" i="1" s="1"/>
  <c r="H201" i="1"/>
  <c r="J201" i="1" s="1"/>
  <c r="H202" i="1"/>
  <c r="J202" i="1" s="1"/>
  <c r="H203" i="1"/>
  <c r="J203" i="1" s="1"/>
  <c r="H196" i="1"/>
  <c r="J196" i="1" s="1"/>
  <c r="H176" i="1"/>
  <c r="J176" i="1" s="1"/>
  <c r="H177" i="1"/>
  <c r="J177" i="1" s="1"/>
  <c r="H178" i="1"/>
  <c r="J178" i="1" s="1"/>
  <c r="H180" i="1"/>
  <c r="H182" i="1"/>
  <c r="J182" i="1" s="1"/>
  <c r="H183" i="1"/>
  <c r="J183" i="1" s="1"/>
  <c r="H184" i="1"/>
  <c r="J184" i="1" s="1"/>
  <c r="H185" i="1"/>
  <c r="J185" i="1" s="1"/>
  <c r="H187" i="1"/>
  <c r="J187" i="1" s="1"/>
  <c r="H188" i="1"/>
  <c r="J188" i="1" s="1"/>
  <c r="H189" i="1"/>
  <c r="J189" i="1" s="1"/>
  <c r="H190" i="1"/>
  <c r="J190" i="1" s="1"/>
  <c r="H215" i="1"/>
  <c r="J215" i="1" s="1"/>
  <c r="H213" i="1"/>
  <c r="J213" i="1" s="1"/>
  <c r="H209" i="1"/>
  <c r="J209" i="1" s="1"/>
  <c r="H207" i="1"/>
  <c r="J207" i="1" s="1"/>
  <c r="H194" i="1"/>
  <c r="J194" i="1" s="1"/>
  <c r="H175" i="1"/>
  <c r="J175" i="1" s="1"/>
  <c r="H171" i="1"/>
  <c r="J171" i="1" s="1"/>
  <c r="H167" i="1"/>
  <c r="J167" i="1" s="1"/>
  <c r="H166" i="1"/>
  <c r="J166" i="1" s="1"/>
  <c r="H162" i="1"/>
  <c r="J162" i="1" s="1"/>
  <c r="H160" i="1"/>
  <c r="J160" i="1" s="1"/>
  <c r="H158" i="1"/>
  <c r="J158" i="1" s="1"/>
  <c r="H149" i="1"/>
  <c r="J149" i="1" s="1"/>
  <c r="H147" i="1"/>
  <c r="J147" i="1" s="1"/>
  <c r="H146" i="1"/>
  <c r="J146" i="1" s="1"/>
  <c r="H138" i="1"/>
  <c r="J138" i="1" s="1"/>
  <c r="H142" i="1"/>
  <c r="J142" i="1" s="1"/>
  <c r="H131" i="1"/>
  <c r="J131" i="1" s="1"/>
  <c r="H130" i="1"/>
  <c r="J130" i="1" s="1"/>
  <c r="H128" i="1"/>
  <c r="J128" i="1" s="1"/>
  <c r="H124" i="1"/>
  <c r="J124" i="1" s="1"/>
  <c r="H119" i="1"/>
  <c r="J119" i="1" s="1"/>
  <c r="J132" i="1" l="1"/>
  <c r="C49" i="2" s="1"/>
  <c r="J163" i="1"/>
  <c r="C55" i="2" s="1"/>
  <c r="J125" i="1"/>
  <c r="C47" i="2" s="1"/>
  <c r="J210" i="1"/>
  <c r="C65" i="2" s="1"/>
  <c r="J216" i="1"/>
  <c r="C67" i="2" s="1"/>
  <c r="J143" i="1"/>
  <c r="C51" i="2" s="1"/>
  <c r="J172" i="1"/>
  <c r="C59" i="2" s="1"/>
  <c r="J155" i="1"/>
  <c r="C53" i="2" s="1"/>
  <c r="J168" i="1"/>
  <c r="C57" i="2" s="1"/>
  <c r="J204" i="1"/>
  <c r="C63" i="2" s="1"/>
  <c r="J180" i="1"/>
  <c r="J191" i="1" s="1"/>
  <c r="H115" i="1"/>
  <c r="J115" i="1" s="1"/>
  <c r="J116" i="1" s="1"/>
  <c r="J111" i="1"/>
  <c r="J109" i="1"/>
  <c r="J106" i="1"/>
  <c r="J104" i="1"/>
  <c r="H99" i="1"/>
  <c r="J99" i="1" s="1"/>
  <c r="J100" i="1" s="1"/>
  <c r="H95" i="1"/>
  <c r="J95" i="1" s="1"/>
  <c r="J96" i="1" s="1"/>
  <c r="H91" i="1"/>
  <c r="H89" i="1"/>
  <c r="H83" i="1"/>
  <c r="J83" i="1" s="1"/>
  <c r="C45" i="2" l="1"/>
  <c r="C39" i="2"/>
  <c r="J112" i="1"/>
  <c r="C43" i="2" s="1"/>
  <c r="C61" i="2"/>
  <c r="C41" i="2"/>
  <c r="J91" i="1"/>
  <c r="J86" i="1"/>
  <c r="J89" i="1"/>
  <c r="H79" i="1"/>
  <c r="J79" i="1" s="1"/>
  <c r="H75" i="1"/>
  <c r="H71" i="1"/>
  <c r="H70" i="1"/>
  <c r="H69" i="1"/>
  <c r="H68" i="1"/>
  <c r="H64" i="1"/>
  <c r="H63" i="1"/>
  <c r="H59" i="1"/>
  <c r="J59" i="1" s="1"/>
  <c r="H57" i="1"/>
  <c r="J57" i="1" s="1"/>
  <c r="H53" i="1"/>
  <c r="J53" i="1" s="1"/>
  <c r="I64" i="1"/>
  <c r="H45" i="1"/>
  <c r="H25" i="1"/>
  <c r="J25" i="1" s="1"/>
  <c r="J92" i="1" l="1"/>
  <c r="C37" i="2" s="1"/>
  <c r="J80" i="1"/>
  <c r="C33" i="2" s="1"/>
  <c r="J54" i="1"/>
  <c r="C23" i="2" s="1"/>
  <c r="J60" i="1"/>
  <c r="C25" i="2" s="1"/>
  <c r="C35" i="2"/>
  <c r="J68" i="1"/>
  <c r="J75" i="1"/>
  <c r="J70" i="1"/>
  <c r="J45" i="1"/>
  <c r="J71" i="1"/>
  <c r="J69" i="1"/>
  <c r="J63" i="1"/>
  <c r="J64" i="1"/>
  <c r="H49" i="1"/>
  <c r="J49" i="1" s="1"/>
  <c r="H39" i="1"/>
  <c r="H37" i="1"/>
  <c r="H33" i="1"/>
  <c r="H19" i="1"/>
  <c r="H18" i="1"/>
  <c r="H13" i="1"/>
  <c r="J13" i="1" s="1"/>
  <c r="J65" i="1" l="1"/>
  <c r="J76" i="1"/>
  <c r="C31" i="2" s="1"/>
  <c r="J50" i="1"/>
  <c r="C21" i="2" s="1"/>
  <c r="J46" i="1"/>
  <c r="C19" i="2" s="1"/>
  <c r="J72" i="1"/>
  <c r="C29" i="2" s="1"/>
  <c r="J39" i="1"/>
  <c r="J37" i="1"/>
  <c r="J33" i="1"/>
  <c r="J19" i="1"/>
  <c r="I36" i="1"/>
  <c r="J18" i="1"/>
  <c r="C27" i="2" l="1"/>
  <c r="H29" i="1"/>
  <c r="J29" i="1" l="1"/>
  <c r="H219" i="1"/>
  <c r="H221" i="1"/>
  <c r="H34" i="1"/>
  <c r="H36" i="1"/>
  <c r="H38" i="1"/>
  <c r="H23" i="1"/>
  <c r="H17" i="1"/>
  <c r="J30" i="1" l="1"/>
  <c r="C15" i="2" s="1"/>
  <c r="J219" i="1"/>
  <c r="J221" i="1"/>
  <c r="J226" i="1" l="1"/>
  <c r="J36" i="1"/>
  <c r="J34" i="1"/>
  <c r="J38" i="1"/>
  <c r="J23" i="1"/>
  <c r="J17" i="1"/>
  <c r="J20" i="1" s="1"/>
  <c r="J41" i="1" l="1"/>
  <c r="C17" i="2" s="1"/>
  <c r="J26" i="1"/>
  <c r="C13" i="2" s="1"/>
  <c r="C11" i="2"/>
  <c r="C69" i="2"/>
  <c r="H11" i="1"/>
  <c r="J11" i="1" s="1"/>
  <c r="J14" i="1" s="1"/>
  <c r="C9" i="2" l="1"/>
  <c r="H6" i="2"/>
  <c r="D71" i="2"/>
  <c r="I5" i="2"/>
  <c r="I6" i="2" l="1"/>
  <c r="I69" i="2"/>
  <c r="I70" i="2" s="1"/>
  <c r="I65" i="2"/>
  <c r="I66" i="2" s="1"/>
  <c r="I49" i="2"/>
  <c r="I50" i="2" s="1"/>
  <c r="I39" i="2"/>
  <c r="I40" i="2" s="1"/>
  <c r="I63" i="2"/>
  <c r="I64" i="2" s="1"/>
  <c r="I59" i="2"/>
  <c r="I60" i="2" s="1"/>
  <c r="I55" i="2"/>
  <c r="I56" i="2" s="1"/>
  <c r="I51" i="2"/>
  <c r="I52" i="2" s="1"/>
  <c r="I43" i="2"/>
  <c r="I44" i="2" s="1"/>
  <c r="I33" i="2"/>
  <c r="I34" i="2" s="1"/>
  <c r="I29" i="2"/>
  <c r="I30" i="2" s="1"/>
  <c r="I25" i="2"/>
  <c r="I26" i="2" s="1"/>
  <c r="I61" i="2"/>
  <c r="I62" i="2" s="1"/>
  <c r="I57" i="2"/>
  <c r="I58" i="2" s="1"/>
  <c r="I45" i="2"/>
  <c r="I46" i="2" s="1"/>
  <c r="I67" i="2"/>
  <c r="I68" i="2" s="1"/>
  <c r="I35" i="2"/>
  <c r="I36" i="2" s="1"/>
  <c r="I27" i="2"/>
  <c r="I28" i="2" s="1"/>
  <c r="I23" i="2"/>
  <c r="I24" i="2" s="1"/>
  <c r="I53" i="2"/>
  <c r="I54" i="2" s="1"/>
  <c r="I47" i="2"/>
  <c r="I48" i="2" s="1"/>
  <c r="I37" i="2"/>
  <c r="I38" i="2" s="1"/>
  <c r="I31" i="2"/>
  <c r="I32" i="2" s="1"/>
  <c r="I21" i="2"/>
  <c r="I22" i="2" s="1"/>
  <c r="I41" i="2"/>
  <c r="I42" i="2" s="1"/>
  <c r="J5" i="2"/>
  <c r="J9" i="2" l="1"/>
  <c r="J63" i="2"/>
  <c r="J64" i="2" s="1"/>
  <c r="J59" i="2"/>
  <c r="J60" i="2" s="1"/>
  <c r="J55" i="2"/>
  <c r="J56" i="2" s="1"/>
  <c r="J51" i="2"/>
  <c r="J52" i="2" s="1"/>
  <c r="J43" i="2"/>
  <c r="J44" i="2" s="1"/>
  <c r="J33" i="2"/>
  <c r="J34" i="2" s="1"/>
  <c r="J29" i="2"/>
  <c r="J30" i="2" s="1"/>
  <c r="J25" i="2"/>
  <c r="J26" i="2" s="1"/>
  <c r="J21" i="2"/>
  <c r="J22" i="2" s="1"/>
  <c r="J67" i="2"/>
  <c r="J68" i="2" s="1"/>
  <c r="J35" i="2"/>
  <c r="J36" i="2" s="1"/>
  <c r="J27" i="2"/>
  <c r="J28" i="2" s="1"/>
  <c r="J65" i="2"/>
  <c r="J66" i="2" s="1"/>
  <c r="J61" i="2"/>
  <c r="J62" i="2" s="1"/>
  <c r="J57" i="2"/>
  <c r="J58" i="2" s="1"/>
  <c r="J53" i="2"/>
  <c r="J54" i="2" s="1"/>
  <c r="J47" i="2"/>
  <c r="J48" i="2" s="1"/>
  <c r="J45" i="2"/>
  <c r="J46" i="2" s="1"/>
  <c r="J37" i="2"/>
  <c r="J38" i="2" s="1"/>
  <c r="J31" i="2"/>
  <c r="J32" i="2" s="1"/>
  <c r="J69" i="2"/>
  <c r="J70" i="2" s="1"/>
  <c r="J49" i="2"/>
  <c r="J50" i="2" s="1"/>
  <c r="J39" i="2"/>
  <c r="J40" i="2" s="1"/>
  <c r="J23" i="2"/>
  <c r="J24" i="2" s="1"/>
  <c r="J41" i="2"/>
  <c r="J42" i="2" s="1"/>
  <c r="K5" i="2"/>
  <c r="K9" i="2" l="1"/>
  <c r="K67" i="2"/>
  <c r="K68" i="2" s="1"/>
  <c r="K35" i="2"/>
  <c r="K36" i="2" s="1"/>
  <c r="K27" i="2"/>
  <c r="K28" i="2" s="1"/>
  <c r="K23" i="2"/>
  <c r="K24" i="2" s="1"/>
  <c r="K61" i="2"/>
  <c r="K62" i="2" s="1"/>
  <c r="K57" i="2"/>
  <c r="K58" i="2" s="1"/>
  <c r="K53" i="2"/>
  <c r="K54" i="2" s="1"/>
  <c r="K47" i="2"/>
  <c r="K48" i="2" s="1"/>
  <c r="K45" i="2"/>
  <c r="K46" i="2" s="1"/>
  <c r="K37" i="2"/>
  <c r="K38" i="2" s="1"/>
  <c r="K31" i="2"/>
  <c r="K32" i="2" s="1"/>
  <c r="K63" i="2"/>
  <c r="K64" i="2" s="1"/>
  <c r="K59" i="2"/>
  <c r="K60" i="2" s="1"/>
  <c r="K55" i="2"/>
  <c r="K56" i="2" s="1"/>
  <c r="K43" i="2"/>
  <c r="K44" i="2" s="1"/>
  <c r="K29" i="2"/>
  <c r="K30" i="2" s="1"/>
  <c r="K69" i="2"/>
  <c r="K70" i="2" s="1"/>
  <c r="K65" i="2"/>
  <c r="K66" i="2" s="1"/>
  <c r="K49" i="2"/>
  <c r="K50" i="2" s="1"/>
  <c r="K39" i="2"/>
  <c r="K40" i="2" s="1"/>
  <c r="K51" i="2"/>
  <c r="K52" i="2" s="1"/>
  <c r="K33" i="2"/>
  <c r="K34" i="2" s="1"/>
  <c r="K25" i="2"/>
  <c r="K26" i="2" s="1"/>
  <c r="K41" i="2"/>
  <c r="K42" i="2" s="1"/>
  <c r="K21" i="2"/>
  <c r="K22" i="2" s="1"/>
  <c r="L5" i="2"/>
  <c r="K13" i="2"/>
  <c r="L9" i="2" l="1"/>
  <c r="L61" i="2"/>
  <c r="L62" i="2" s="1"/>
  <c r="L57" i="2"/>
  <c r="L58" i="2" s="1"/>
  <c r="L53" i="2"/>
  <c r="L54" i="2" s="1"/>
  <c r="L47" i="2"/>
  <c r="L48" i="2" s="1"/>
  <c r="L37" i="2"/>
  <c r="L38" i="2" s="1"/>
  <c r="L31" i="2"/>
  <c r="L32" i="2" s="1"/>
  <c r="L69" i="2"/>
  <c r="L70" i="2" s="1"/>
  <c r="L65" i="2"/>
  <c r="L66" i="2" s="1"/>
  <c r="L49" i="2"/>
  <c r="L50" i="2" s="1"/>
  <c r="L39" i="2"/>
  <c r="L40" i="2" s="1"/>
  <c r="L67" i="2"/>
  <c r="L68" i="2" s="1"/>
  <c r="L59" i="2"/>
  <c r="L60" i="2" s="1"/>
  <c r="L55" i="2"/>
  <c r="L56" i="2" s="1"/>
  <c r="L51" i="2"/>
  <c r="L52" i="2" s="1"/>
  <c r="L43" i="2"/>
  <c r="L44" i="2" s="1"/>
  <c r="L33" i="2"/>
  <c r="L34" i="2" s="1"/>
  <c r="L29" i="2"/>
  <c r="L30" i="2" s="1"/>
  <c r="L25" i="2"/>
  <c r="L26" i="2" s="1"/>
  <c r="L35" i="2"/>
  <c r="L36" i="2" s="1"/>
  <c r="L63" i="2"/>
  <c r="L64" i="2" s="1"/>
  <c r="L45" i="2"/>
  <c r="L46" i="2" s="1"/>
  <c r="L41" i="2"/>
  <c r="L42" i="2" s="1"/>
  <c r="L23" i="2"/>
  <c r="L24" i="2" s="1"/>
  <c r="L21" i="2"/>
  <c r="L22" i="2" s="1"/>
  <c r="L27" i="2"/>
  <c r="L28" i="2" s="1"/>
  <c r="L11" i="2"/>
  <c r="M5" i="2"/>
  <c r="H13" i="2"/>
  <c r="H14" i="2" s="1"/>
  <c r="L13" i="2"/>
  <c r="M11" i="2" l="1"/>
  <c r="M12" i="2" s="1"/>
  <c r="M41" i="2"/>
  <c r="M42" i="2" s="1"/>
  <c r="M45" i="2"/>
  <c r="M46" i="2" s="1"/>
  <c r="M59" i="2"/>
  <c r="M60" i="2" s="1"/>
  <c r="M39" i="2"/>
  <c r="M40" i="2" s="1"/>
  <c r="M63" i="2"/>
  <c r="M64" i="2" s="1"/>
  <c r="M21" i="2"/>
  <c r="M22" i="2" s="1"/>
  <c r="M61" i="2"/>
  <c r="M62" i="2" s="1"/>
  <c r="M55" i="2"/>
  <c r="M56" i="2" s="1"/>
  <c r="M43" i="2"/>
  <c r="M44" i="2" s="1"/>
  <c r="M49" i="2"/>
  <c r="M50" i="2" s="1"/>
  <c r="M67" i="2"/>
  <c r="M68" i="2" s="1"/>
  <c r="M65" i="2"/>
  <c r="M66" i="2" s="1"/>
  <c r="M57" i="2"/>
  <c r="M58" i="2" s="1"/>
  <c r="M47" i="2"/>
  <c r="M48" i="2" s="1"/>
  <c r="M51" i="2"/>
  <c r="M52" i="2" s="1"/>
  <c r="M53" i="2"/>
  <c r="M54" i="2" s="1"/>
  <c r="M35" i="2"/>
  <c r="M36" i="2" s="1"/>
  <c r="M23" i="2"/>
  <c r="M24" i="2" s="1"/>
  <c r="M33" i="2"/>
  <c r="M34" i="2" s="1"/>
  <c r="M25" i="2"/>
  <c r="M26" i="2" s="1"/>
  <c r="M37" i="2"/>
  <c r="M38" i="2" s="1"/>
  <c r="M31" i="2"/>
  <c r="M32" i="2" s="1"/>
  <c r="M29" i="2"/>
  <c r="M30" i="2" s="1"/>
  <c r="M27" i="2"/>
  <c r="M28" i="2" s="1"/>
  <c r="M69" i="2"/>
  <c r="M70" i="2" s="1"/>
  <c r="M13" i="2"/>
  <c r="M14" i="2" s="1"/>
  <c r="N5" i="2"/>
  <c r="O5" i="2" s="1"/>
  <c r="M9" i="2"/>
  <c r="H15" i="2"/>
  <c r="N11" i="2" l="1"/>
  <c r="N12" i="2" s="1"/>
  <c r="N49" i="2"/>
  <c r="N50" i="2" s="1"/>
  <c r="N41" i="2"/>
  <c r="N42" i="2" s="1"/>
  <c r="N33" i="2"/>
  <c r="N34" i="2" s="1"/>
  <c r="N25" i="2"/>
  <c r="N26" i="2" s="1"/>
  <c r="N35" i="2"/>
  <c r="N36" i="2" s="1"/>
  <c r="N47" i="2"/>
  <c r="N48" i="2" s="1"/>
  <c r="N37" i="2"/>
  <c r="N38" i="2" s="1"/>
  <c r="N59" i="2"/>
  <c r="N60" i="2" s="1"/>
  <c r="N51" i="2"/>
  <c r="N52" i="2" s="1"/>
  <c r="N21" i="2"/>
  <c r="N22" i="2" s="1"/>
  <c r="N31" i="2"/>
  <c r="N32" i="2" s="1"/>
  <c r="N53" i="2"/>
  <c r="N54" i="2" s="1"/>
  <c r="N63" i="2"/>
  <c r="N64" i="2" s="1"/>
  <c r="N67" i="2"/>
  <c r="N68" i="2" s="1"/>
  <c r="N57" i="2"/>
  <c r="N58" i="2" s="1"/>
  <c r="N27" i="2"/>
  <c r="N28" i="2" s="1"/>
  <c r="N29" i="2"/>
  <c r="N30" i="2" s="1"/>
  <c r="N23" i="2"/>
  <c r="N24" i="2" s="1"/>
  <c r="N45" i="2"/>
  <c r="N46" i="2" s="1"/>
  <c r="N55" i="2"/>
  <c r="N56" i="2" s="1"/>
  <c r="N65" i="2"/>
  <c r="N66" i="2" s="1"/>
  <c r="N39" i="2"/>
  <c r="N40" i="2" s="1"/>
  <c r="N43" i="2"/>
  <c r="N44" i="2" s="1"/>
  <c r="N61" i="2"/>
  <c r="N62" i="2" s="1"/>
  <c r="N69" i="2"/>
  <c r="N70" i="2" s="1"/>
  <c r="O21" i="2"/>
  <c r="O35" i="2"/>
  <c r="O45" i="2"/>
  <c r="O46" i="2" s="1"/>
  <c r="O37" i="2"/>
  <c r="O38" i="2" s="1"/>
  <c r="O31" i="2"/>
  <c r="O32" i="2" s="1"/>
  <c r="O39" i="2"/>
  <c r="O67" i="2"/>
  <c r="O68" i="2" s="1"/>
  <c r="O23" i="2"/>
  <c r="O24" i="2" s="1"/>
  <c r="O69" i="2"/>
  <c r="O70" i="2" s="1"/>
  <c r="O65" i="2"/>
  <c r="O53" i="2"/>
  <c r="O57" i="2"/>
  <c r="O58" i="2" s="1"/>
  <c r="O51" i="2"/>
  <c r="O52" i="2" s="1"/>
  <c r="O25" i="2"/>
  <c r="O26" i="2" s="1"/>
  <c r="O63" i="2"/>
  <c r="O64" i="2" s="1"/>
  <c r="O49" i="2"/>
  <c r="O50" i="2" s="1"/>
  <c r="O41" i="2"/>
  <c r="O33" i="2"/>
  <c r="O34" i="2" s="1"/>
  <c r="O29" i="2"/>
  <c r="O30" i="2" s="1"/>
  <c r="O47" i="2"/>
  <c r="O48" i="2" s="1"/>
  <c r="O27" i="2"/>
  <c r="O28" i="2" s="1"/>
  <c r="O59" i="2"/>
  <c r="O55" i="2"/>
  <c r="O61" i="2"/>
  <c r="O43" i="2"/>
  <c r="M10" i="2"/>
  <c r="N9" i="2"/>
  <c r="N13" i="2"/>
  <c r="N14" i="2" s="1"/>
  <c r="N19" i="2"/>
  <c r="H16" i="2"/>
  <c r="O19" i="2"/>
  <c r="O11" i="2"/>
  <c r="O12" i="2" s="1"/>
  <c r="O9" i="2"/>
  <c r="O13" i="2"/>
  <c r="O14" i="2" s="1"/>
  <c r="O15" i="2"/>
  <c r="O60" i="2" l="1"/>
  <c r="O44" i="2"/>
  <c r="O62" i="2"/>
  <c r="O56" i="2"/>
  <c r="O42" i="2"/>
  <c r="O22" i="2"/>
  <c r="O66" i="2"/>
  <c r="O40" i="2"/>
  <c r="O54" i="2"/>
  <c r="O36" i="2"/>
  <c r="N10" i="2"/>
  <c r="O10" i="2"/>
  <c r="O17" i="2"/>
  <c r="H17" i="2"/>
  <c r="H18" i="2" l="1"/>
  <c r="E7" i="2"/>
  <c r="J6" i="2" l="1"/>
  <c r="K6" i="2"/>
  <c r="O7" i="2" l="1"/>
  <c r="L7" i="2"/>
  <c r="I7" i="2"/>
  <c r="H7" i="2"/>
  <c r="N7" i="2"/>
  <c r="K7" i="2"/>
  <c r="M7" i="2"/>
  <c r="J7" i="2"/>
  <c r="O6" i="2"/>
  <c r="M6" i="2"/>
  <c r="N6" i="2"/>
  <c r="L6" i="2"/>
  <c r="I17" i="2" l="1"/>
  <c r="I18" i="2" s="1"/>
  <c r="I11" i="2" l="1"/>
  <c r="J11" i="2"/>
  <c r="K11" i="2"/>
  <c r="M17" i="2"/>
  <c r="N17" i="2"/>
  <c r="L17" i="2"/>
  <c r="C71" i="2" l="1"/>
  <c r="N15" i="2"/>
  <c r="M15" i="2"/>
  <c r="L15" i="2"/>
  <c r="K15" i="2"/>
  <c r="H11" i="2"/>
  <c r="H12" i="2" s="1"/>
  <c r="I12" i="2" s="1"/>
  <c r="J12" i="2" s="1"/>
  <c r="K12" i="2" s="1"/>
  <c r="L12" i="2" s="1"/>
  <c r="K19" i="2" l="1"/>
  <c r="L19" i="2"/>
  <c r="M19" i="2"/>
  <c r="I15" i="2"/>
  <c r="J15" i="2"/>
  <c r="K17" i="2"/>
  <c r="J17" i="2"/>
  <c r="I13" i="2"/>
  <c r="J13" i="2"/>
  <c r="H19" i="2"/>
  <c r="H20" i="2" s="1"/>
  <c r="I19" i="2"/>
  <c r="J19" i="2"/>
  <c r="H9" i="2" l="1"/>
  <c r="I9" i="2"/>
  <c r="I16" i="2"/>
  <c r="J16" i="2" s="1"/>
  <c r="K16" i="2" s="1"/>
  <c r="L16" i="2" s="1"/>
  <c r="M16" i="2" s="1"/>
  <c r="N16" i="2" s="1"/>
  <c r="O16" i="2" s="1"/>
  <c r="J18" i="2"/>
  <c r="K18" i="2" s="1"/>
  <c r="L18" i="2" s="1"/>
  <c r="M18" i="2" s="1"/>
  <c r="N18" i="2" s="1"/>
  <c r="O18" i="2" s="1"/>
  <c r="I14" i="2"/>
  <c r="J14" i="2" s="1"/>
  <c r="K14" i="2" s="1"/>
  <c r="L14" i="2" s="1"/>
  <c r="I20" i="2"/>
  <c r="J20" i="2" s="1"/>
  <c r="K20" i="2" s="1"/>
  <c r="L20" i="2" s="1"/>
  <c r="M20" i="2" s="1"/>
  <c r="N20" i="2" s="1"/>
  <c r="O20" i="2" s="1"/>
  <c r="H72" i="2" l="1"/>
  <c r="I72" i="2" s="1"/>
  <c r="J72" i="2" s="1"/>
  <c r="K72" i="2" s="1"/>
  <c r="L72" i="2" s="1"/>
  <c r="M72" i="2" s="1"/>
  <c r="N72" i="2" s="1"/>
  <c r="H10" i="2"/>
  <c r="I10" i="2" s="1"/>
  <c r="J10" i="2" s="1"/>
  <c r="K10" i="2" s="1"/>
  <c r="L10" i="2" s="1"/>
  <c r="O72" i="2" l="1"/>
</calcChain>
</file>

<file path=xl/sharedStrings.xml><?xml version="1.0" encoding="utf-8"?>
<sst xmlns="http://schemas.openxmlformats.org/spreadsheetml/2006/main" count="598" uniqueCount="413">
  <si>
    <t>m²</t>
  </si>
  <si>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</si>
  <si>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</si>
  <si>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</si>
  <si>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</si>
  <si>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</si>
  <si>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</si>
  <si>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</si>
  <si>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</si>
  <si>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</si>
  <si>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</si>
  <si>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>m³</t>
  </si>
  <si>
    <t>49</t>
  </si>
  <si>
    <t>CAIXA, RALO, GRELHA E ACESSÓRIO HIDRÁULICO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</si>
  <si>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</si>
  <si>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</si>
  <si>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</si>
  <si>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</si>
  <si>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</si>
  <si>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</si>
  <si>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</si>
  <si>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</si>
  <si>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</si>
  <si>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</si>
  <si>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</si>
  <si>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</si>
  <si>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</si>
  <si>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</si>
  <si>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</si>
  <si>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 xml:space="preserve">CONVÊNIO: </t>
  </si>
  <si>
    <t xml:space="preserve">LOCAL: PIRAJUÍ </t>
  </si>
  <si>
    <t>11.01.160</t>
  </si>
  <si>
    <t>Concreto usinado, fck = 30 MPa</t>
  </si>
  <si>
    <t>11.16.020</t>
  </si>
  <si>
    <t>Lançamento, espalhamento e adensamento de concreto ou massa em lastro e/ou enchimento</t>
  </si>
  <si>
    <t>10.02.020</t>
  </si>
  <si>
    <t>kg</t>
  </si>
  <si>
    <t>Valor com BDI 22,93 %</t>
  </si>
  <si>
    <t>02</t>
  </si>
  <si>
    <t>INÍCIO, APOIO E ADMINISTRAÇÃO DA OBRA</t>
  </si>
  <si>
    <t>Prefeitura</t>
  </si>
  <si>
    <t>02.09</t>
  </si>
  <si>
    <t>Limpeza de terreno</t>
  </si>
  <si>
    <t>02.09.040</t>
  </si>
  <si>
    <t>Limpeza mecanizada do terreno, inclusive troncos até 15 cm de diâmetro, com caminhão à disposição dentro e fora da obra, com transporte no raio de até 1 km</t>
  </si>
  <si>
    <t>09</t>
  </si>
  <si>
    <t>FORMA</t>
  </si>
  <si>
    <t>09.01</t>
  </si>
  <si>
    <t>Forma em tábua</t>
  </si>
  <si>
    <t>09.01.020</t>
  </si>
  <si>
    <t>Forma em madeira comum para fundação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</si>
  <si>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</si>
  <si>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</si>
  <si>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</si>
  <si>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</si>
  <si>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</si>
  <si>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</si>
  <si>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12</t>
  </si>
  <si>
    <t>FUNDAÇÃO PROFUNDA</t>
  </si>
  <si>
    <t>12.01</t>
  </si>
  <si>
    <t>Broca</t>
  </si>
  <si>
    <t>12.01.040</t>
  </si>
  <si>
    <t>Broca em concreto armado diâmetro de 25 cm - completa</t>
  </si>
  <si>
    <t>09.01.030</t>
  </si>
  <si>
    <t>Forma em madeira comum para estrutura</t>
  </si>
  <si>
    <t>09.01.160</t>
  </si>
  <si>
    <t>Desmontagem de forma em madeira para estrutura de vigas, com tábuas</t>
  </si>
  <si>
    <t>11</t>
  </si>
  <si>
    <t>CONCRETO, MASSA E LASTRO</t>
  </si>
  <si>
    <t>11.01</t>
  </si>
  <si>
    <t>Concreto usinado com controle fck - fornecimento do material</t>
  </si>
  <si>
    <t>11.16</t>
  </si>
  <si>
    <t>Lançamento e aplicação</t>
  </si>
  <si>
    <t>11.16.040</t>
  </si>
  <si>
    <t>Lançamento e adensamento de concreto ou massa em fundação</t>
  </si>
  <si>
    <t>11.16.060</t>
  </si>
  <si>
    <t>Lançamento e adensamento de concreto ou massa em estrutura</t>
  </si>
  <si>
    <t>11.01.100</t>
  </si>
  <si>
    <t>Concreto usinado, fck = 20 Mpa (Contrapiso)</t>
  </si>
  <si>
    <t>11.16.080</t>
  </si>
  <si>
    <t>Lançamento e adensamento de concreto ou massa por bombeamento</t>
  </si>
  <si>
    <t>14</t>
  </si>
  <si>
    <t>ALVENARIA E ELEMENTO DIVISOR</t>
  </si>
  <si>
    <t>14.04</t>
  </si>
  <si>
    <t>Alvenaria com bloco cerâmico de vedação</t>
  </si>
  <si>
    <t>14.04.210</t>
  </si>
  <si>
    <t>Alvenaria de bloco cerâmico de vedação, uso revestido, de 14 cm</t>
  </si>
  <si>
    <t>10.02</t>
  </si>
  <si>
    <t>Armadura em tela</t>
  </si>
  <si>
    <t>Armadura em tela soldada de aço</t>
  </si>
  <si>
    <t>13</t>
  </si>
  <si>
    <t>LAJE E PAINEL DE FECHAMENTO PRÉ-FABRICADOS</t>
  </si>
  <si>
    <t>13.01</t>
  </si>
  <si>
    <t>Laje pré-fabricada mista em vigotas treliçadas e lajotas</t>
  </si>
  <si>
    <t>13.01.130</t>
  </si>
  <si>
    <t>Laje pré-fabricada mista vigota treliçada/lajota cerâmica - LT 12 (8+4) e capa com concreto de 25 MPa</t>
  </si>
  <si>
    <t>15</t>
  </si>
  <si>
    <t>ESTRUTURA EM MADEIRA, FERRO, ALUMÍNIO E CONCRETO</t>
  </si>
  <si>
    <t>16</t>
  </si>
  <si>
    <t>TELHAMENTO</t>
  </si>
  <si>
    <t>16.33</t>
  </si>
  <si>
    <t>Calhas e rufos</t>
  </si>
  <si>
    <t>16.33.022</t>
  </si>
  <si>
    <t>Calha, rufo, afins em chapa galvanizada nº 24 - corte 0,33 m</t>
  </si>
  <si>
    <t>17</t>
  </si>
  <si>
    <t>REVESTIMENTO EM MASSA OU FUNDIDO NO LOCAL</t>
  </si>
  <si>
    <t>17.02</t>
  </si>
  <si>
    <t>Revestimento em argamassa</t>
  </si>
  <si>
    <t>17.02.030</t>
  </si>
  <si>
    <t>Chapisco 1:4 com areia grossa</t>
  </si>
  <si>
    <t>17.02.220</t>
  </si>
  <si>
    <t>Reboco</t>
  </si>
  <si>
    <t>18</t>
  </si>
  <si>
    <t>REVESTIMENTO CERÂMICO</t>
  </si>
  <si>
    <t>18.06.102</t>
  </si>
  <si>
    <t>Placa cerâmica esmaltada PEI-5 para área interna, grupo de absorção BIIb, resistência química B, assentado com argamassa colante industrializada</t>
  </si>
  <si>
    <t>18.06</t>
  </si>
  <si>
    <t>Placa cerâmica esmaltada prensada</t>
  </si>
  <si>
    <t>18.06.103</t>
  </si>
  <si>
    <t>Rodapé em placa cerâmica esmaltada PEI-5 para área interna, grupo de absorção BIIb, resistência química B, assentado com argamassa colante industrializada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</si>
  <si>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</si>
  <si>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</si>
  <si>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</si>
  <si>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</si>
  <si>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19</t>
  </si>
  <si>
    <t>REVESTIMENTO EM PEDRA</t>
  </si>
  <si>
    <t>19.01</t>
  </si>
  <si>
    <t>Granito</t>
  </si>
  <si>
    <t>23</t>
  </si>
  <si>
    <t>ESQUADRIA, MARCENARIA E ELEMENTO EM MADEIRA</t>
  </si>
  <si>
    <t>23.09</t>
  </si>
  <si>
    <t>Porta lisa comum montada com batente</t>
  </si>
  <si>
    <t>23.09.040</t>
  </si>
  <si>
    <t>Porta lisa com batente madeira - 80 x 210 cm</t>
  </si>
  <si>
    <t>24</t>
  </si>
  <si>
    <t>ESQUADRIA, SERRALHERIA E ELEMENTO EM FERRO</t>
  </si>
  <si>
    <t>24.01</t>
  </si>
  <si>
    <t>24.02</t>
  </si>
  <si>
    <t>Portas, portões e gradis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</si>
  <si>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</si>
  <si>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</si>
  <si>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</si>
  <si>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</si>
  <si>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</si>
  <si>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</si>
  <si>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26.04</t>
  </si>
  <si>
    <t>Espelhos</t>
  </si>
  <si>
    <t>26.04.010</t>
  </si>
  <si>
    <t>Espelho em vidro cristal liso, espessura de 4 mm</t>
  </si>
  <si>
    <t>28</t>
  </si>
  <si>
    <t>FERRAGEM COMPLEMENTAR PARA ESQUADRIAS</t>
  </si>
  <si>
    <t>28.01</t>
  </si>
  <si>
    <t>Ferragem para porta</t>
  </si>
  <si>
    <t>28.01.040</t>
  </si>
  <si>
    <t>Ferragem completa com maçaneta tipo alavanca, para porta interna com 1 folha</t>
  </si>
  <si>
    <t>cj</t>
  </si>
  <si>
    <t>32</t>
  </si>
  <si>
    <t>IMPERMEABILIZAÇÃO, PROTEÇÃO E JUNTA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</si>
  <si>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</si>
  <si>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</si>
  <si>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</si>
  <si>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</si>
  <si>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33</t>
  </si>
  <si>
    <t>PINTURA</t>
  </si>
  <si>
    <t>33.02</t>
  </si>
  <si>
    <t>Massa corrida</t>
  </si>
  <si>
    <t>33.02.080</t>
  </si>
  <si>
    <t>Massa corrida à base de resina acrílica</t>
  </si>
  <si>
    <t>33.10</t>
  </si>
  <si>
    <t>Pintura em superfície de concreto/massa/gesso/pedras, inclusive preparo</t>
  </si>
  <si>
    <t>33.10.010</t>
  </si>
  <si>
    <t>Tinta látex antimofo em massa, inclusive preparo</t>
  </si>
  <si>
    <t>33.11</t>
  </si>
  <si>
    <t>Pintura em superfície metálica, inclusive preparo</t>
  </si>
  <si>
    <t>33.11.050</t>
  </si>
  <si>
    <t>Esmalte à base água em superfície metálica, inclusive preparo</t>
  </si>
  <si>
    <t>33.12</t>
  </si>
  <si>
    <t>Pintura em superfície de madeira, inclusive preparo</t>
  </si>
  <si>
    <t>33.12.011</t>
  </si>
  <si>
    <t>Esmalte à base de água em madeira, inclusive preparo</t>
  </si>
  <si>
    <t>34</t>
  </si>
  <si>
    <t>PAISAGISMO E FECHAMENTOS</t>
  </si>
  <si>
    <t>37</t>
  </si>
  <si>
    <t>QUADRO E PAINEL PARA ENERGIA ELÉTRICA E TELEFONIA</t>
  </si>
  <si>
    <t>37.04</t>
  </si>
  <si>
    <t>Quadro distribuição de luz e força de sobrepor universal</t>
  </si>
  <si>
    <t>Quadro de distribuição universal de sobrepor, para disjuntores 16 DIN / 12 Bolt-on - 150 A - sem componentes</t>
  </si>
  <si>
    <t>37.13</t>
  </si>
  <si>
    <t>Disjuntores</t>
  </si>
  <si>
    <t>37.13.600</t>
  </si>
  <si>
    <t>Disjuntor termomagnético, unipolar 127/220 V, corrente de 10 A até 30 A</t>
  </si>
  <si>
    <t>37.24</t>
  </si>
  <si>
    <t>Supressor de surto</t>
  </si>
  <si>
    <t>37.24.031</t>
  </si>
  <si>
    <t>Supressor de surto monofásico, Fase-Terra, In 4 a 11 kA, Imax. de surto de 12 até 15 kA</t>
  </si>
  <si>
    <t>38</t>
  </si>
  <si>
    <t>TUBULAÇÃO E CONDUTOR PARA ENERGIA ELÉTRICA E TELEFONIA BÁSICA</t>
  </si>
  <si>
    <t>38.01</t>
  </si>
  <si>
    <t>Eletroduto em PVC rígido roscável</t>
  </si>
  <si>
    <t>38.01.060</t>
  </si>
  <si>
    <t>Eletroduto de PVC rígido roscável de 1´ - com acessórios</t>
  </si>
  <si>
    <t>38.19</t>
  </si>
  <si>
    <t>Eletroduto em PVC corrugado flexível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</si>
  <si>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</si>
  <si>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</si>
  <si>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</si>
  <si>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</si>
  <si>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39</t>
  </si>
  <si>
    <t>CONDUTOR E ENFIAÇÃO DE ENERGIA ELÉTRICA E TELEFONIA</t>
  </si>
  <si>
    <t>39.09</t>
  </si>
  <si>
    <t>Conectores</t>
  </si>
  <si>
    <t>39.09.020</t>
  </si>
  <si>
    <t>40</t>
  </si>
  <si>
    <t>DISTRIBUIÇÃO DE FORÇA E COMANDO DE ENERGIA ELÉTRICA E TELEFONIA</t>
  </si>
  <si>
    <t>40.04</t>
  </si>
  <si>
    <t>Tomadas</t>
  </si>
  <si>
    <t>40.04.450</t>
  </si>
  <si>
    <t>Tomada 2P+T de 10 A - 250 V, completa</t>
  </si>
  <si>
    <t>40.04.470</t>
  </si>
  <si>
    <t>Conjunto 2 tomadas 2P+T de 10 A, completo</t>
  </si>
  <si>
    <t>40.05</t>
  </si>
  <si>
    <t>Interruptores e minuterias</t>
  </si>
  <si>
    <t>40.05.020</t>
  </si>
  <si>
    <t>Interruptor com 1 tecla simples e placa</t>
  </si>
  <si>
    <t>41</t>
  </si>
  <si>
    <t>ILUMINAÇÃO</t>
  </si>
  <si>
    <t>41.02</t>
  </si>
  <si>
    <t>Lâmpadas</t>
  </si>
  <si>
    <t>41.30.250</t>
  </si>
  <si>
    <t>42</t>
  </si>
  <si>
    <t>PARA-RAIOS PARA EDIFICAÇÃO</t>
  </si>
  <si>
    <t>42.05</t>
  </si>
  <si>
    <t>Componentes para cabo de descida</t>
  </si>
  <si>
    <t>43</t>
  </si>
  <si>
    <t>APARELHOS ELÉTRICOS, HIDRÁULICOS E A GÁS.</t>
  </si>
  <si>
    <t>43.02</t>
  </si>
  <si>
    <t>Chuveiros</t>
  </si>
  <si>
    <t>43.02.140</t>
  </si>
  <si>
    <t>Chuveiro elétrico de 5.500 W / 220 V em PVC</t>
  </si>
  <si>
    <t>44</t>
  </si>
  <si>
    <t>APARELHOS E METAIS HIDRÁULICOS</t>
  </si>
  <si>
    <t>44.01</t>
  </si>
  <si>
    <t>Aparelhos e louças</t>
  </si>
  <si>
    <t>44.01.050</t>
  </si>
  <si>
    <t>Bacia sifonada de louça sem tampa - 6 litros</t>
  </si>
  <si>
    <t>44.01.100</t>
  </si>
  <si>
    <t>Lavatório de louça sem coluna</t>
  </si>
  <si>
    <t>44.01.270</t>
  </si>
  <si>
    <t>Cuba de louça de embutir oval</t>
  </si>
  <si>
    <t>44.01.310</t>
  </si>
  <si>
    <t>Tanque de louça com coluna de 30 litros</t>
  </si>
  <si>
    <t>44.02</t>
  </si>
  <si>
    <t>Bancadas e tampos</t>
  </si>
  <si>
    <t>44.03</t>
  </si>
  <si>
    <t>Acessórios e metais</t>
  </si>
  <si>
    <t>44.03.040</t>
  </si>
  <si>
    <t>Saboneteira de louça de embutir</t>
  </si>
  <si>
    <t>44.03.080</t>
  </si>
  <si>
    <t>Porta-papel de louça de embutir</t>
  </si>
  <si>
    <t>44.03.090</t>
  </si>
  <si>
    <t>Cabide cromado para banheiro</t>
  </si>
  <si>
    <t>44.03.450</t>
  </si>
  <si>
    <t>Torneira longa sem rosca para uso geral, em latão fundido cromado</t>
  </si>
  <si>
    <t>44.20</t>
  </si>
  <si>
    <t>Reparos, conservações e complementos - GRUPO 44</t>
  </si>
  <si>
    <t>44.20.010</t>
  </si>
  <si>
    <t>Sifão plástico sanfonado universal de 1´</t>
  </si>
  <si>
    <t>44.20.120</t>
  </si>
  <si>
    <t>Canopla para válvula de descarga</t>
  </si>
  <si>
    <t>44.20.280</t>
  </si>
  <si>
    <t>Tampa de plástico para bacia sanitária</t>
  </si>
  <si>
    <t>44.20.300</t>
  </si>
  <si>
    <t>Bolsa para bacia sanitária</t>
  </si>
  <si>
    <t>46</t>
  </si>
  <si>
    <t>TUBULAÇÃO E CONDUTORES PARA LÍQUIDOS E GASES.</t>
  </si>
  <si>
    <t>46.01</t>
  </si>
  <si>
    <t>Tubulação em PVC rígido marrom para sistemas prediais de água fria</t>
  </si>
  <si>
    <t>46.01.010</t>
  </si>
  <si>
    <t>Tubo de PVC rígido soldável marrom, DN= 20 mm, (1/2´), inclusive conexões</t>
  </si>
  <si>
    <t>46.02</t>
  </si>
  <si>
    <t>Tubulação em PVC rígido branco para esgoto domiciliar</t>
  </si>
  <si>
    <t>46.02.060</t>
  </si>
  <si>
    <t>Tubo de PVC rígido branco PxB com virola e anel de borracha, linha esgoto série normal, DN= 75 mm, inclusive conexões</t>
  </si>
  <si>
    <t>46.05</t>
  </si>
  <si>
    <t>Tubulação em PVC rígido com junta elástica - rede de esgoto</t>
  </si>
  <si>
    <t>46.05.020</t>
  </si>
  <si>
    <t>Tubo PVC rígido, tipo Coletor Esgoto, junta elástica, DN= 100 mm, inclusive conexões</t>
  </si>
  <si>
    <t>46.33</t>
  </si>
  <si>
    <t>Tubulação em PP - águas pluviais / esgoto</t>
  </si>
  <si>
    <t>46.33.003</t>
  </si>
  <si>
    <t>Tubo de esgoto em polipropileno de alta resistência - PP, DN= 63mm, preto, com união deslizante e guarnição elastomérica de duplo lábio</t>
  </si>
  <si>
    <t>46.33.022</t>
  </si>
  <si>
    <t>Joelho 45° em polipropileno de alta resistência - PP, preto, tipo PB, DN= 63mm</t>
  </si>
  <si>
    <t>46.33.104</t>
  </si>
  <si>
    <t>Luva dupla em polipropileno de alta resistência - PP,  preto,  DN= 63mm</t>
  </si>
  <si>
    <t>46.33.131</t>
  </si>
  <si>
    <t>Tê 87°30' simples em polipropileno de alta resistência - PP, preto, tipo PB, DN= 63x63mm</t>
  </si>
  <si>
    <t>47</t>
  </si>
  <si>
    <t>VÁLVULAS E APARELHOS DE MEDIÇÃO E CONTROLE PARA LÍQUIDOS E GASES</t>
  </si>
  <si>
    <t>47.01</t>
  </si>
  <si>
    <t>Registro e / ou válvula em latão fundido sem acabamento</t>
  </si>
  <si>
    <t>47.01.020</t>
  </si>
  <si>
    <t>Registro de gaveta em latão fundido sem acabamento, DN= 3/4´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</si>
  <si>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</si>
  <si>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</si>
  <si>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</si>
  <si>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</si>
  <si>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48</t>
  </si>
  <si>
    <t>RESERVATÓRIO E TANQUE PARA LÍQUIDOS E GASES</t>
  </si>
  <si>
    <t>48.02</t>
  </si>
  <si>
    <t>Reservatório em material sintético</t>
  </si>
  <si>
    <t>48.05</t>
  </si>
  <si>
    <t>Torneira de boia</t>
  </si>
  <si>
    <t>48.05.010</t>
  </si>
  <si>
    <t>Torneira de boia, DN= 3/4´</t>
  </si>
  <si>
    <t>49.03</t>
  </si>
  <si>
    <t>Caixa de gordura</t>
  </si>
  <si>
    <t>49.03.020</t>
  </si>
  <si>
    <t>Caixa de gordura em alvenaria, 600 x 600 x 600 mm</t>
  </si>
  <si>
    <t>49.04</t>
  </si>
  <si>
    <t>Ralo em PVC rígido</t>
  </si>
  <si>
    <t>49.04.010</t>
  </si>
  <si>
    <t>Ralo seco em PVC rígido de 100 x 40 mm, com grelha</t>
  </si>
  <si>
    <t>11.16.220</t>
  </si>
  <si>
    <t>Nivelamento de piso em concreto com acabadora de superfície</t>
  </si>
  <si>
    <t>Conector split-bolt para cabo de até 25 mm², latão, simples</t>
  </si>
  <si>
    <t>ENGº CIVIL ALEXANDRE FARIA BARROZO</t>
  </si>
  <si>
    <t>CESAR HENRIQUE DA CUNHA FIALA</t>
  </si>
  <si>
    <t>PREFEITO MUNICIPAL</t>
  </si>
  <si>
    <t>24.02.070</t>
  </si>
  <si>
    <t>Porta de ferro de abrir tipo veneziana, linha comercial (com ferragens e reforçada com grade)</t>
  </si>
  <si>
    <t xml:space="preserve">Construção de uma residência na área das antenas no Município de Pirajuí </t>
  </si>
  <si>
    <t>02.08.020</t>
  </si>
  <si>
    <t>02.08</t>
  </si>
  <si>
    <t>Sinalização de Obra</t>
  </si>
  <si>
    <t>Placa de identificação da obra</t>
  </si>
  <si>
    <t>Massa corrida à base de PVA</t>
  </si>
  <si>
    <t>33.02.060</t>
  </si>
  <si>
    <t>33.10.030</t>
  </si>
  <si>
    <t>Tinta acrílica antimofo em massa, inclusive preparo</t>
  </si>
  <si>
    <t>14.04.200</t>
  </si>
  <si>
    <t>Alvenaria de bloco cerâmico de vedação, uso revestido, de 9 cm</t>
  </si>
  <si>
    <t>19.01.062</t>
  </si>
  <si>
    <t>Peitoril ou Soleira em granito jateado, espessura de 2 cm e largura até 20 cm, acabamento polido</t>
  </si>
  <si>
    <t>24.01.080</t>
  </si>
  <si>
    <t>Caixilho em ferro de correr, linha comercial (Gradeado)</t>
  </si>
  <si>
    <t>37.13.630</t>
  </si>
  <si>
    <t xml:space="preserve">Disjuntor termomagnético, bipolar 220/380 V, corrente de 10 A até 50 </t>
  </si>
  <si>
    <t>37.03.200</t>
  </si>
  <si>
    <t>39.02</t>
  </si>
  <si>
    <t>Cabo de cobre, isolamento 450 v / 750V, isolação em PVC 70°C</t>
  </si>
  <si>
    <t>Cabo de cobre de 1,5 mm², isolamento 750 V - isolação em PVC 70°C</t>
  </si>
  <si>
    <t>Cabo de cobre de 2,5 mm², isolamento 750 V - isolação em PVC 70°C</t>
  </si>
  <si>
    <t>Cabo de cobre de 6,0 mm², isolamento 750 V - isolação em PVC 70°C</t>
  </si>
  <si>
    <t>Cabo de cobre de 10,0 mm², isolamento 750 V - isolação em PVC 70°C</t>
  </si>
  <si>
    <t>39.02.010</t>
  </si>
  <si>
    <t>39.02.016</t>
  </si>
  <si>
    <t>39.02.030</t>
  </si>
  <si>
    <t>39.02.040</t>
  </si>
  <si>
    <t>40.07</t>
  </si>
  <si>
    <t>Caixa de passagem em PVC</t>
  </si>
  <si>
    <t>Caixa em PVC de 4´ x 2´</t>
  </si>
  <si>
    <t>Caixa em PVC de 4´ x 4´</t>
  </si>
  <si>
    <t>40.07.020</t>
  </si>
  <si>
    <t>40.07.010</t>
  </si>
  <si>
    <t>Lâmpada LED 13,5W, com base E-27, 1400 até 1510lm</t>
  </si>
  <si>
    <t>41.02.580</t>
  </si>
  <si>
    <t>Plafon plástico e/ou PVC para acabamento de ponto de luz, com soquete E-27 para lâmpada fluorescente compacta</t>
  </si>
  <si>
    <t>41.20.080</t>
  </si>
  <si>
    <t>41.20</t>
  </si>
  <si>
    <t>Reparos, conservações e complementos - GRUPO 41</t>
  </si>
  <si>
    <t>41.31</t>
  </si>
  <si>
    <t>Iluminação Led</t>
  </si>
  <si>
    <t>Luminária LED retangular de sobrepor com difusor translúcido, 4000 K, fluxo luminoso de 3690 a 4800 lm, potência de 38 a 41 W</t>
  </si>
  <si>
    <t>40.1</t>
  </si>
  <si>
    <t>Relé</t>
  </si>
  <si>
    <t>40.11.010</t>
  </si>
  <si>
    <t>Relé fotoelétrico 50/60 Hz, 110/220 V, 1200 VA, completo</t>
  </si>
  <si>
    <t>42.05.160</t>
  </si>
  <si>
    <t>Conector olhal cabo/haste de 5/8"</t>
  </si>
  <si>
    <t>Haste de aterramento de 5/8'' x 2,4 m</t>
  </si>
  <si>
    <t>42.05.200</t>
  </si>
  <si>
    <t>39.04</t>
  </si>
  <si>
    <t>Cabo de cobre nu, têmpera mole, classe 2</t>
  </si>
  <si>
    <t>Cabo de cobre nu, têmpera mole, classe 2, de 10 mm²</t>
  </si>
  <si>
    <t>48.02.401</t>
  </si>
  <si>
    <t>Reservatório em polietileno com tampa de rosca - capacidade de 500 litros</t>
  </si>
  <si>
    <t>Estrutura em madeira para cobertura</t>
  </si>
  <si>
    <t>15.01</t>
  </si>
  <si>
    <t>15.01.010</t>
  </si>
  <si>
    <t xml:space="preserve">Estrutura de madeira tesourada para telha de barro - vãos até 7,00 </t>
  </si>
  <si>
    <t>Telhamento em barro</t>
  </si>
  <si>
    <t>16.02</t>
  </si>
  <si>
    <t>16.02.030</t>
  </si>
  <si>
    <t>Telha de barro tipo romana</t>
  </si>
  <si>
    <t>Fossa séptica câmara única com anéis pré-moldados em concreto, diâmetro externo de 1,50 m, altura útil de 1,50 m</t>
  </si>
  <si>
    <t>49.14</t>
  </si>
  <si>
    <t>49.14.010</t>
  </si>
  <si>
    <t>Fossa séptica</t>
  </si>
  <si>
    <t>SM01 Sumidouro - poço absorvente</t>
  </si>
  <si>
    <t>49.14.061</t>
  </si>
  <si>
    <t>49.14.071</t>
  </si>
  <si>
    <t>Tampão pré-moldado de concreto armado para sumidouro com diâmetro externo de 2,00 m</t>
  </si>
  <si>
    <t>Tampo/bancada em granito, com frontão, espessura de 2 cm, acabamento polido</t>
  </si>
  <si>
    <t>44.02.062</t>
  </si>
  <si>
    <t>Cerca em arame farpado com mourões de concreto</t>
  </si>
  <si>
    <t>34.05</t>
  </si>
  <si>
    <t>34.05.020</t>
  </si>
  <si>
    <t>Cercas e fechamentos</t>
  </si>
  <si>
    <t>DATA BASE: janeiro 2021</t>
  </si>
  <si>
    <t>FONTE: CDHU - 180</t>
  </si>
  <si>
    <t>OBRA: Contrução da Residência - Área das Antenas</t>
  </si>
  <si>
    <t>SECRETÁRIO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</si>
</sst>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0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SansSerif"/>
      <charset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SansSerif"/>
      <charset val="2"/>
    </font>
    <font>
      <sz val="11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5" fillId="0" borderId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8" fillId="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14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8" fillId="18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8" fillId="10" borderId="0" applyNumberFormat="0" applyBorder="0" applyAlignment="0" applyProtection="0"/>
    <xf numFmtId="0" fontId="16" fillId="3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34" borderId="0" applyNumberFormat="0" applyBorder="0" applyAlignment="0" applyProtection="0"/>
    <xf numFmtId="0" fontId="8" fillId="13" borderId="0" applyNumberFormat="0" applyBorder="0" applyAlignment="0" applyProtection="0"/>
    <xf numFmtId="0" fontId="16" fillId="37" borderId="0" applyNumberFormat="0" applyBorder="0" applyAlignment="0" applyProtection="0"/>
    <xf numFmtId="0" fontId="8" fillId="15" borderId="0" applyNumberFormat="0" applyBorder="0" applyAlignment="0" applyProtection="0"/>
    <xf numFmtId="0" fontId="16" fillId="37" borderId="0" applyNumberFormat="0" applyBorder="0" applyAlignment="0" applyProtection="0"/>
    <xf numFmtId="0" fontId="16" fillId="33" borderId="0" applyNumberFormat="0" applyBorder="0" applyAlignment="0" applyProtection="0"/>
    <xf numFmtId="0" fontId="8" fillId="19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8" fillId="24" borderId="0" applyNumberFormat="0" applyBorder="0" applyAlignment="0" applyProtection="0"/>
    <xf numFmtId="0" fontId="16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27" borderId="0" applyNumberFormat="0" applyBorder="0" applyAlignment="0" applyProtection="0"/>
    <xf numFmtId="0" fontId="19" fillId="41" borderId="0" applyNumberFormat="0" applyBorder="0" applyAlignment="0" applyProtection="0"/>
    <xf numFmtId="0" fontId="14" fillId="1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4" fillId="16" borderId="0" applyNumberFormat="0" applyBorder="0" applyAlignment="0" applyProtection="0"/>
    <xf numFmtId="0" fontId="19" fillId="37" borderId="0" applyNumberFormat="0" applyBorder="0" applyAlignment="0" applyProtection="0"/>
    <xf numFmtId="0" fontId="19" fillId="42" borderId="0" applyNumberFormat="0" applyBorder="0" applyAlignment="0" applyProtection="0"/>
    <xf numFmtId="0" fontId="14" fillId="20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4" fillId="25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39" borderId="0" applyNumberFormat="0" applyBorder="0" applyAlignment="0" applyProtection="0"/>
    <xf numFmtId="0" fontId="19" fillId="47" borderId="0" applyNumberFormat="0" applyBorder="0" applyAlignment="0" applyProtection="0"/>
    <xf numFmtId="0" fontId="20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40" borderId="12" applyNumberFormat="0" applyAlignment="0" applyProtection="0"/>
    <xf numFmtId="0" fontId="13" fillId="6" borderId="8" applyNumberFormat="0" applyAlignment="0" applyProtection="0"/>
    <xf numFmtId="0" fontId="21" fillId="40" borderId="12" applyNumberFormat="0" applyAlignment="0" applyProtection="0"/>
    <xf numFmtId="0" fontId="22" fillId="48" borderId="13" applyNumberFormat="0" applyAlignment="0" applyProtection="0"/>
    <xf numFmtId="0" fontId="29" fillId="0" borderId="14" applyNumberFormat="0" applyFill="0" applyAlignment="0" applyProtection="0"/>
    <xf numFmtId="0" fontId="22" fillId="48" borderId="13" applyNumberFormat="0" applyAlignment="0" applyProtection="0"/>
    <xf numFmtId="0" fontId="41" fillId="0" borderId="0">
      <alignment vertical="center" wrapText="1"/>
    </xf>
    <xf numFmtId="0" fontId="19" fillId="49" borderId="0" applyNumberFormat="0" applyBorder="0" applyAlignment="0" applyProtection="0"/>
    <xf numFmtId="0" fontId="14" fillId="8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2" borderId="0" applyNumberFormat="0" applyBorder="0" applyAlignment="0" applyProtection="0"/>
    <xf numFmtId="0" fontId="14" fillId="17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7" borderId="0" applyNumberFormat="0" applyBorder="0" applyAlignment="0" applyProtection="0"/>
    <xf numFmtId="0" fontId="28" fillId="27" borderId="12" applyNumberFormat="0" applyAlignment="0" applyProtection="0"/>
    <xf numFmtId="0" fontId="42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23" fillId="0" borderId="0" applyNumberFormat="0" applyFill="0" applyBorder="0" applyAlignment="0" applyProtection="0"/>
    <xf numFmtId="40" fontId="17" fillId="0" borderId="0">
      <alignment vertical="center" wrapText="1"/>
    </xf>
    <xf numFmtId="40" fontId="17" fillId="0" borderId="0">
      <alignment vertical="center" wrapText="1"/>
    </xf>
    <xf numFmtId="40" fontId="17" fillId="0" borderId="0">
      <alignment vertical="center" wrapText="1"/>
    </xf>
    <xf numFmtId="0" fontId="24" fillId="32" borderId="0" applyNumberFormat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0" fillId="31" borderId="0" applyNumberFormat="0" applyBorder="0" applyAlignment="0" applyProtection="0"/>
    <xf numFmtId="0" fontId="28" fillId="27" borderId="12" applyNumberFormat="0" applyAlignment="0" applyProtection="0"/>
    <xf numFmtId="0" fontId="28" fillId="27" borderId="12" applyNumberFormat="0" applyAlignment="0" applyProtection="0"/>
    <xf numFmtId="0" fontId="29" fillId="0" borderId="14" applyNumberFormat="0" applyFill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4" fillId="0" borderId="0"/>
    <xf numFmtId="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4" fillId="0" borderId="0"/>
    <xf numFmtId="0" fontId="17" fillId="0" borderId="0"/>
    <xf numFmtId="0" fontId="4" fillId="0" borderId="0"/>
    <xf numFmtId="0" fontId="40" fillId="0" borderId="0"/>
    <xf numFmtId="0" fontId="17" fillId="0" borderId="0"/>
    <xf numFmtId="0" fontId="17" fillId="0" borderId="0"/>
    <xf numFmtId="0" fontId="50" fillId="0" borderId="0">
      <alignment vertical="center"/>
    </xf>
    <xf numFmtId="0" fontId="17" fillId="0" borderId="0"/>
    <xf numFmtId="0" fontId="40" fillId="0" borderId="0"/>
    <xf numFmtId="0" fontId="17" fillId="0" borderId="0"/>
    <xf numFmtId="0" fontId="49" fillId="0" borderId="0"/>
    <xf numFmtId="0" fontId="49" fillId="0" borderId="0"/>
    <xf numFmtId="0" fontId="17" fillId="0" borderId="0">
      <alignment vertical="center"/>
    </xf>
    <xf numFmtId="0" fontId="49" fillId="0" borderId="0"/>
    <xf numFmtId="0" fontId="17" fillId="0" borderId="0"/>
    <xf numFmtId="0" fontId="17" fillId="0" borderId="0"/>
    <xf numFmtId="0" fontId="49" fillId="0" borderId="0"/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 applyNumberFormat="0" applyFont="0" applyFill="0" applyBorder="0" applyAlignment="0" applyProtection="0">
      <alignment vertical="top"/>
    </xf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Protection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8" fillId="0" borderId="0"/>
    <xf numFmtId="0" fontId="17" fillId="0" borderId="0"/>
    <xf numFmtId="0" fontId="17" fillId="0" borderId="0"/>
    <xf numFmtId="0" fontId="8" fillId="0" borderId="0"/>
    <xf numFmtId="0" fontId="4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4" fillId="0" borderId="0"/>
    <xf numFmtId="0" fontId="8" fillId="0" borderId="0"/>
    <xf numFmtId="0" fontId="17" fillId="0" borderId="0"/>
    <xf numFmtId="0" fontId="17" fillId="0" borderId="0"/>
    <xf numFmtId="0" fontId="50" fillId="0" borderId="0">
      <alignment vertical="center"/>
    </xf>
    <xf numFmtId="0" fontId="44" fillId="0" borderId="0"/>
    <xf numFmtId="0" fontId="17" fillId="0" borderId="0"/>
    <xf numFmtId="0" fontId="44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17" fillId="28" borderId="18" applyNumberFormat="0" applyFont="0" applyAlignment="0" applyProtection="0"/>
    <xf numFmtId="0" fontId="8" fillId="7" borderId="10" applyNumberFormat="0" applyFont="0" applyAlignment="0" applyProtection="0"/>
    <xf numFmtId="0" fontId="17" fillId="28" borderId="18" applyNumberFormat="0" applyFont="0" applyAlignment="0" applyProtection="0"/>
    <xf numFmtId="0" fontId="8" fillId="7" borderId="10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17" fillId="28" borderId="18" applyNumberFormat="0" applyFont="0" applyAlignment="0" applyProtection="0"/>
    <xf numFmtId="0" fontId="31" fillId="26" borderId="19" applyNumberFormat="0" applyAlignment="0" applyProtection="0"/>
    <xf numFmtId="0" fontId="31" fillId="26" borderId="19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45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1" fillId="40" borderId="19" applyNumberFormat="0" applyAlignment="0" applyProtection="0"/>
    <xf numFmtId="0" fontId="12" fillId="6" borderId="9" applyNumberFormat="0" applyAlignment="0" applyProtection="0"/>
    <xf numFmtId="0" fontId="31" fillId="40" borderId="19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9" fillId="0" borderId="5" applyNumberFormat="0" applyFill="0" applyAlignment="0" applyProtection="0"/>
    <xf numFmtId="0" fontId="36" fillId="0" borderId="20" applyNumberFormat="0" applyFill="0" applyAlignment="0" applyProtection="0"/>
    <xf numFmtId="0" fontId="37" fillId="0" borderId="16" applyNumberFormat="0" applyFill="0" applyAlignment="0" applyProtection="0"/>
    <xf numFmtId="0" fontId="10" fillId="0" borderId="6" applyNumberFormat="0" applyFill="0" applyAlignment="0" applyProtection="0"/>
    <xf numFmtId="0" fontId="37" fillId="0" borderId="16" applyNumberFormat="0" applyFill="0" applyAlignment="0" applyProtection="0"/>
    <xf numFmtId="0" fontId="38" fillId="0" borderId="21" applyNumberFormat="0" applyFill="0" applyAlignment="0" applyProtection="0"/>
    <xf numFmtId="0" fontId="11" fillId="0" borderId="7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1" fillId="0" borderId="11" applyNumberFormat="0" applyFill="0" applyAlignment="0" applyProtection="0"/>
    <xf numFmtId="0" fontId="39" fillId="0" borderId="22" applyNumberFormat="0" applyFill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4" fillId="0" borderId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/>
    <xf numFmtId="43" fontId="17" fillId="0" borderId="0" applyFill="0" applyBorder="0" applyAlignment="0" applyProtection="0"/>
    <xf numFmtId="9" fontId="17" fillId="0" borderId="0" applyFont="0" applyFill="0" applyBorder="0" applyAlignment="0" applyProtection="0"/>
    <xf numFmtId="0" fontId="55" fillId="0" borderId="0"/>
    <xf numFmtId="0" fontId="17" fillId="0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6" fillId="50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6" fillId="5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6" fillId="52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6" fillId="53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6" fillId="54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6" fillId="5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6" fillId="54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6" fillId="51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6" fillId="5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6" fillId="56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6" fillId="54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6" fillId="52" borderId="0" applyNumberFormat="0" applyBorder="0" applyAlignment="0" applyProtection="0"/>
    <xf numFmtId="0" fontId="8" fillId="24" borderId="0" applyNumberFormat="0" applyBorder="0" applyAlignment="0" applyProtection="0"/>
    <xf numFmtId="0" fontId="57" fillId="54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6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8" fillId="0" borderId="0" applyNumberFormat="0" applyFont="0" applyBorder="0" applyAlignment="0"/>
    <xf numFmtId="0" fontId="59" fillId="54" borderId="0" applyNumberFormat="0" applyBorder="0" applyAlignment="0" applyProtection="0"/>
    <xf numFmtId="0" fontId="60" fillId="59" borderId="12" applyNumberFormat="0" applyAlignment="0" applyProtection="0"/>
    <xf numFmtId="0" fontId="61" fillId="60" borderId="13" applyNumberFormat="0" applyAlignment="0" applyProtection="0"/>
    <xf numFmtId="0" fontId="62" fillId="0" borderId="32" applyNumberFormat="0" applyFill="0" applyAlignment="0" applyProtection="0"/>
    <xf numFmtId="172" fontId="63" fillId="0" borderId="0">
      <protection locked="0"/>
    </xf>
    <xf numFmtId="41" fontId="17" fillId="0" borderId="0" applyFont="0" applyFill="0" applyBorder="0" applyAlignment="0" applyProtection="0"/>
    <xf numFmtId="173" fontId="63" fillId="0" borderId="0">
      <protection locked="0"/>
    </xf>
    <xf numFmtId="174" fontId="63" fillId="0" borderId="0">
      <protection locked="0"/>
    </xf>
    <xf numFmtId="42" fontId="17" fillId="0" borderId="0" applyFont="0" applyFill="0" applyBorder="0" applyAlignment="0" applyProtection="0"/>
    <xf numFmtId="175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57" fillId="61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4" borderId="0" applyNumberFormat="0" applyBorder="0" applyAlignment="0" applyProtection="0"/>
    <xf numFmtId="0" fontId="64" fillId="55" borderId="12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16" fillId="0" borderId="0"/>
    <xf numFmtId="0" fontId="56" fillId="0" borderId="0"/>
    <xf numFmtId="0" fontId="16" fillId="0" borderId="0"/>
    <xf numFmtId="9" fontId="16" fillId="0" borderId="0"/>
    <xf numFmtId="178" fontId="63" fillId="0" borderId="0">
      <protection locked="0"/>
    </xf>
    <xf numFmtId="178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6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0" fontId="67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17" fillId="52" borderId="18" applyNumberFormat="0" applyAlignment="0" applyProtection="0"/>
    <xf numFmtId="180" fontId="63" fillId="0" borderId="0">
      <protection locked="0"/>
    </xf>
    <xf numFmtId="180" fontId="63" fillId="0" borderId="0">
      <protection locked="0"/>
    </xf>
    <xf numFmtId="0" fontId="69" fillId="0" borderId="33" applyNumberFormat="0" applyFont="0" applyBorder="0" applyAlignment="0"/>
    <xf numFmtId="4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70" fillId="59" borderId="19" applyNumberFormat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7" fillId="0" borderId="0" applyFill="0" applyBorder="0" applyAlignment="0" applyProtection="0"/>
    <xf numFmtId="5" fontId="16" fillId="0" borderId="0" applyFill="0" applyBorder="0" applyAlignment="0" applyProtection="0"/>
    <xf numFmtId="177" fontId="1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1" fillId="0" borderId="0"/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0" borderId="34" applyNumberFormat="0" applyFill="0" applyAlignment="0" applyProtection="0"/>
    <xf numFmtId="0" fontId="32" fillId="0" borderId="0" applyNumberFormat="0" applyFill="0" applyBorder="0" applyAlignment="0" applyProtection="0"/>
    <xf numFmtId="0" fontId="73" fillId="0" borderId="34" applyNumberFormat="0" applyFill="0" applyAlignment="0" applyProtection="0"/>
    <xf numFmtId="0" fontId="36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74" fillId="0" borderId="35" applyNumberFormat="0" applyFill="0" applyAlignment="0" applyProtection="0"/>
    <xf numFmtId="0" fontId="75" fillId="0" borderId="36" applyNumberFormat="0" applyFill="0" applyAlignment="0" applyProtection="0"/>
    <xf numFmtId="0" fontId="75" fillId="0" borderId="0" applyNumberFormat="0" applyFill="0" applyBorder="0" applyAlignment="0" applyProtection="0"/>
    <xf numFmtId="181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181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37" applyNumberFormat="0" applyFill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7" fillId="0" borderId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2" fillId="0" borderId="0" applyNumberFormat="0" applyBorder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92" fillId="0" borderId="0" applyNumberFormat="0" applyBorder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49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44" borderId="0" applyNumberFormat="0" applyBorder="0" applyAlignment="0" applyProtection="0"/>
    <xf numFmtId="0" fontId="16" fillId="68" borderId="0" applyNumberFormat="0" applyBorder="0" applyAlignment="0" applyProtection="0"/>
    <xf numFmtId="0" fontId="16" fillId="71" borderId="0" applyNumberFormat="0" applyBorder="0" applyAlignment="0" applyProtection="0"/>
    <xf numFmtId="0" fontId="19" fillId="69" borderId="0" applyNumberFormat="0" applyBorder="0" applyAlignment="0" applyProtection="0"/>
    <xf numFmtId="0" fontId="19" fillId="45" borderId="0" applyNumberFormat="0" applyBorder="0" applyAlignment="0" applyProtection="0"/>
    <xf numFmtId="0" fontId="16" fillId="66" borderId="0" applyNumberFormat="0" applyBorder="0" applyAlignment="0" applyProtection="0"/>
    <xf numFmtId="0" fontId="16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42" borderId="0" applyNumberFormat="0" applyBorder="0" applyAlignment="0" applyProtection="0"/>
    <xf numFmtId="0" fontId="16" fillId="72" borderId="0" applyNumberFormat="0" applyBorder="0" applyAlignment="0" applyProtection="0"/>
    <xf numFmtId="0" fontId="1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39" borderId="0" applyNumberFormat="0" applyBorder="0" applyAlignment="0" applyProtection="0"/>
    <xf numFmtId="0" fontId="16" fillId="68" borderId="0" applyNumberFormat="0" applyBorder="0" applyAlignment="0" applyProtection="0"/>
    <xf numFmtId="0" fontId="16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47" borderId="0" applyNumberFormat="0" applyBorder="0" applyAlignment="0" applyProtection="0"/>
    <xf numFmtId="184" fontId="78" fillId="74" borderId="0" applyBorder="0" applyAlignment="0" applyProtection="0"/>
    <xf numFmtId="0" fontId="24" fillId="32" borderId="0" applyNumberFormat="0" applyBorder="0" applyAlignment="0" applyProtection="0"/>
    <xf numFmtId="185" fontId="79" fillId="59" borderId="38">
      <alignment horizontal="center" vertical="center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1" fillId="40" borderId="12" applyNumberFormat="0" applyAlignment="0" applyProtection="0"/>
    <xf numFmtId="0" fontId="22" fillId="48" borderId="13" applyNumberFormat="0" applyAlignment="0" applyProtection="0"/>
    <xf numFmtId="0" fontId="29" fillId="0" borderId="14" applyNumberFormat="0" applyFill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2" fillId="0" borderId="0"/>
    <xf numFmtId="3" fontId="83" fillId="0" borderId="0" applyFont="0" applyFill="0" applyBorder="0" applyAlignment="0" applyProtection="0"/>
    <xf numFmtId="0" fontId="82" fillId="0" borderId="0"/>
    <xf numFmtId="3" fontId="34" fillId="64" borderId="0" applyProtection="0">
      <alignment horizontal="center" vertical="center"/>
    </xf>
    <xf numFmtId="0" fontId="17" fillId="0" borderId="0" applyFont="0" applyFill="0" applyProtection="0">
      <alignment vertical="top"/>
    </xf>
    <xf numFmtId="0" fontId="82" fillId="0" borderId="0"/>
    <xf numFmtId="0" fontId="39" fillId="75" borderId="0" applyNumberFormat="0" applyBorder="0" applyAlignment="0" applyProtection="0"/>
    <xf numFmtId="0" fontId="39" fillId="76" borderId="0" applyNumberFormat="0" applyBorder="0" applyAlignment="0" applyProtection="0"/>
    <xf numFmtId="0" fontId="39" fillId="77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7" borderId="0" applyNumberFormat="0" applyBorder="0" applyAlignment="0" applyProtection="0"/>
    <xf numFmtId="0" fontId="28" fillId="27" borderId="12" applyNumberFormat="0" applyAlignment="0" applyProtection="0"/>
    <xf numFmtId="186" fontId="92" fillId="0" borderId="0" applyBorder="0" applyProtection="0"/>
    <xf numFmtId="186" fontId="92" fillId="0" borderId="0" applyBorder="0" applyProtection="0"/>
    <xf numFmtId="0" fontId="92" fillId="0" borderId="0" applyNumberFormat="0" applyBorder="0" applyProtection="0"/>
    <xf numFmtId="187" fontId="93" fillId="0" borderId="0" applyBorder="0" applyProtection="0"/>
    <xf numFmtId="184" fontId="78" fillId="78" borderId="0" applyBorder="0" applyAlignment="0" applyProtection="0"/>
    <xf numFmtId="4" fontId="17" fillId="0" borderId="39">
      <alignment horizontal="right"/>
    </xf>
    <xf numFmtId="188" fontId="18" fillId="0" borderId="0">
      <alignment horizontal="left"/>
    </xf>
    <xf numFmtId="189" fontId="18" fillId="0" borderId="0">
      <alignment horizontal="left"/>
    </xf>
    <xf numFmtId="2" fontId="17" fillId="0" borderId="0" applyFont="0" applyFill="0" applyProtection="0">
      <alignment vertical="top"/>
    </xf>
    <xf numFmtId="0" fontId="94" fillId="0" borderId="0" applyNumberFormat="0" applyBorder="0" applyProtection="0">
      <alignment horizontal="center"/>
    </xf>
    <xf numFmtId="0" fontId="94" fillId="0" borderId="0" applyNumberFormat="0" applyBorder="0" applyProtection="0">
      <alignment horizontal="center" textRotation="90"/>
    </xf>
    <xf numFmtId="184" fontId="78" fillId="79" borderId="0" applyBorder="0" applyAlignment="0" applyProtection="0"/>
    <xf numFmtId="0" fontId="20" fillId="31" borderId="0" applyNumberFormat="0" applyBorder="0" applyAlignment="0" applyProtection="0"/>
    <xf numFmtId="0" fontId="84" fillId="0" borderId="0"/>
    <xf numFmtId="167" fontId="85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3" fontId="17" fillId="0" borderId="0" applyFont="0" applyFill="0" applyBorder="0" applyAlignment="0" applyProtection="0"/>
    <xf numFmtId="3" fontId="17" fillId="0" borderId="0"/>
    <xf numFmtId="169" fontId="17" fillId="0" borderId="0" applyFont="0" applyFill="0" applyBorder="0" applyAlignment="0" applyProtection="0"/>
    <xf numFmtId="4" fontId="87" fillId="64" borderId="40" applyProtection="0">
      <alignment horizontal="right"/>
    </xf>
    <xf numFmtId="0" fontId="30" fillId="35" borderId="0" applyNumberFormat="0" applyBorder="0" applyAlignment="0" applyProtection="0"/>
    <xf numFmtId="185" fontId="88" fillId="80" borderId="38">
      <alignment horizontal="center" vertical="center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40" fillId="0" borderId="0"/>
    <xf numFmtId="0" fontId="40" fillId="0" borderId="0"/>
    <xf numFmtId="0" fontId="86" fillId="0" borderId="0"/>
    <xf numFmtId="0" fontId="17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2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Alignment="0" applyProtection="0"/>
    <xf numFmtId="9" fontId="8" fillId="0" borderId="0" applyFont="0" applyFill="0" applyBorder="0" applyAlignment="0" applyProtection="0"/>
    <xf numFmtId="0" fontId="95" fillId="0" borderId="0" applyNumberFormat="0" applyBorder="0" applyProtection="0"/>
    <xf numFmtId="190" fontId="95" fillId="0" borderId="0" applyBorder="0" applyProtection="0"/>
    <xf numFmtId="0" fontId="31" fillId="40" borderId="19" applyNumberFormat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191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3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22" applyNumberFormat="0" applyFill="0" applyAlignment="0" applyProtection="0"/>
    <xf numFmtId="43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7" fillId="0" borderId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7" fillId="0" borderId="0"/>
    <xf numFmtId="193" fontId="91" fillId="0" borderId="0"/>
    <xf numFmtId="9" fontId="8" fillId="0" borderId="0" applyFont="0" applyFill="0" applyBorder="0" applyAlignment="0" applyProtection="0"/>
    <xf numFmtId="0" fontId="8" fillId="0" borderId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44" fontId="17" fillId="0" borderId="0" applyFont="0" applyFill="0" applyBorder="0" applyAlignment="0" applyProtection="0"/>
    <xf numFmtId="194" fontId="82" fillId="0" borderId="0"/>
    <xf numFmtId="43" fontId="15" fillId="0" borderId="0" applyFont="0" applyFill="0" applyBorder="0" applyAlignment="0" applyProtection="0"/>
    <xf numFmtId="0" fontId="8" fillId="0" borderId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7" fillId="0" borderId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41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1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ill="0" applyBorder="0" applyAlignment="0" applyProtection="0"/>
    <xf numFmtId="41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1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ill="0" applyBorder="0" applyAlignment="0" applyProtection="0"/>
    <xf numFmtId="41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16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1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82">
    <xf numFmtId="0" fontId="0" fillId="0" borderId="0" xfId="0"/>
    <xf numFmtId="0" fontId="3" fillId="2" borderId="1" xfId="1" applyFont="1" applyFill="1" applyBorder="1"/>
    <xf numFmtId="43" fontId="3" fillId="2" borderId="1" xfId="2" applyFont="1" applyFill="1" applyBorder="1"/>
    <xf numFmtId="0" fontId="4" fillId="0" borderId="1" xfId="1" applyFont="1" applyBorder="1"/>
    <xf numFmtId="0" fontId="4" fillId="0" borderId="1" xfId="1" applyFont="1" applyBorder="1" applyAlignment="1">
      <alignment wrapText="1"/>
    </xf>
    <xf numFmtId="43" fontId="4" fillId="0" borderId="1" xfId="2" applyFont="1" applyBorder="1"/>
    <xf numFmtId="2" fontId="0" fillId="0" borderId="0" xfId="0" applyNumberFormat="1"/>
    <xf numFmtId="0" fontId="8" fillId="0" borderId="0" xfId="3292" applyBorder="1"/>
    <xf numFmtId="0" fontId="8" fillId="0" borderId="30" xfId="3292" applyFill="1" applyBorder="1"/>
    <xf numFmtId="3" fontId="8" fillId="0" borderId="30" xfId="3292" applyNumberFormat="1" applyBorder="1"/>
    <xf numFmtId="4" fontId="8" fillId="0" borderId="30" xfId="3292" applyNumberFormat="1" applyFill="1" applyBorder="1"/>
    <xf numFmtId="0" fontId="100" fillId="82" borderId="30" xfId="3292" applyFont="1" applyFill="1" applyBorder="1" applyAlignment="1">
      <alignment horizontal="center"/>
    </xf>
    <xf numFmtId="3" fontId="100" fillId="82" borderId="30" xfId="3292" applyNumberFormat="1" applyFont="1" applyFill="1" applyBorder="1" applyAlignment="1">
      <alignment horizontal="center"/>
    </xf>
    <xf numFmtId="3" fontId="1" fillId="82" borderId="30" xfId="3292" applyNumberFormat="1" applyFont="1" applyFill="1" applyBorder="1" applyAlignment="1">
      <alignment horizontal="center"/>
    </xf>
    <xf numFmtId="0" fontId="8" fillId="83" borderId="30" xfId="3292" applyFont="1" applyFill="1" applyBorder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wrapText="1"/>
    </xf>
    <xf numFmtId="43" fontId="3" fillId="4" borderId="1" xfId="2" applyFont="1" applyFill="1" applyBorder="1"/>
    <xf numFmtId="43" fontId="52" fillId="4" borderId="24" xfId="493" applyFont="1" applyFill="1" applyBorder="1" applyAlignment="1">
      <alignment horizontal="center" vertical="center"/>
    </xf>
    <xf numFmtId="0" fontId="52" fillId="4" borderId="50" xfId="188" applyFont="1" applyFill="1" applyBorder="1" applyAlignment="1">
      <alignment vertical="center"/>
    </xf>
    <xf numFmtId="0" fontId="0" fillId="0" borderId="0" xfId="0" applyAlignment="1">
      <alignment horizontal="right"/>
    </xf>
    <xf numFmtId="3" fontId="8" fillId="4" borderId="30" xfId="3292" applyNumberFormat="1" applyFill="1" applyBorder="1"/>
    <xf numFmtId="0" fontId="0" fillId="4" borderId="52" xfId="0" applyFill="1" applyBorder="1"/>
    <xf numFmtId="0" fontId="0" fillId="4" borderId="53" xfId="0" applyFill="1" applyBorder="1"/>
    <xf numFmtId="4" fontId="1" fillId="4" borderId="30" xfId="0" applyNumberFormat="1" applyFont="1" applyFill="1" applyBorder="1" applyAlignment="1"/>
    <xf numFmtId="0" fontId="96" fillId="0" borderId="30" xfId="188" applyFont="1" applyFill="1" applyBorder="1" applyAlignment="1">
      <alignment horizontal="center" vertical="center" wrapText="1"/>
    </xf>
    <xf numFmtId="0" fontId="96" fillId="0" borderId="31" xfId="188" applyFont="1" applyFill="1" applyBorder="1" applyAlignment="1">
      <alignment horizontal="center" vertical="center" wrapText="1"/>
    </xf>
    <xf numFmtId="0" fontId="96" fillId="0" borderId="30" xfId="188" applyFont="1" applyFill="1" applyBorder="1" applyAlignment="1">
      <alignment vertical="center" wrapText="1"/>
    </xf>
    <xf numFmtId="0" fontId="3" fillId="4" borderId="54" xfId="1" applyFont="1" applyFill="1" applyBorder="1"/>
    <xf numFmtId="43" fontId="3" fillId="4" borderId="55" xfId="2" applyFont="1" applyFill="1" applyBorder="1"/>
    <xf numFmtId="43" fontId="3" fillId="2" borderId="55" xfId="2" applyFont="1" applyFill="1" applyBorder="1"/>
    <xf numFmtId="2" fontId="0" fillId="0" borderId="55" xfId="0" applyNumberFormat="1" applyBorder="1"/>
    <xf numFmtId="0" fontId="5" fillId="3" borderId="58" xfId="1" applyNumberFormat="1" applyFont="1" applyFill="1" applyBorder="1" applyAlignment="1" applyProtection="1">
      <alignment horizontal="center" vertical="center" wrapText="1"/>
    </xf>
    <xf numFmtId="0" fontId="5" fillId="3" borderId="59" xfId="1" applyNumberFormat="1" applyFont="1" applyFill="1" applyBorder="1" applyAlignment="1" applyProtection="1">
      <alignment horizontal="left" vertical="center"/>
    </xf>
    <xf numFmtId="0" fontId="6" fillId="0" borderId="59" xfId="1" applyFont="1" applyBorder="1" applyAlignment="1">
      <alignment horizontal="center" vertical="center" wrapText="1"/>
    </xf>
    <xf numFmtId="0" fontId="5" fillId="3" borderId="59" xfId="1" applyNumberFormat="1" applyFont="1" applyFill="1" applyBorder="1" applyAlignment="1" applyProtection="1">
      <alignment horizontal="center" vertical="center" wrapText="1"/>
    </xf>
    <xf numFmtId="2" fontId="5" fillId="3" borderId="6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4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43" fontId="4" fillId="5" borderId="1" xfId="2" applyFont="1" applyFill="1" applyBorder="1"/>
    <xf numFmtId="0" fontId="0" fillId="5" borderId="1" xfId="0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84" borderId="1" xfId="0" applyFont="1" applyFill="1" applyBorder="1"/>
    <xf numFmtId="2" fontId="1" fillId="84" borderId="55" xfId="0" applyNumberFormat="1" applyFont="1" applyFill="1" applyBorder="1"/>
    <xf numFmtId="0" fontId="52" fillId="4" borderId="23" xfId="188" applyFont="1" applyFill="1" applyBorder="1" applyAlignment="1">
      <alignment vertical="center"/>
    </xf>
    <xf numFmtId="0" fontId="17" fillId="26" borderId="1" xfId="0" applyFont="1" applyFill="1" applyBorder="1" applyAlignment="1">
      <alignment horizontal="left" vertical="top" wrapText="1"/>
    </xf>
    <xf numFmtId="43" fontId="17" fillId="26" borderId="1" xfId="2" applyFont="1" applyFill="1" applyBorder="1" applyAlignment="1">
      <alignment horizontal="right" vertical="top" wrapText="1"/>
    </xf>
    <xf numFmtId="0" fontId="17" fillId="26" borderId="1" xfId="0" applyFont="1" applyFill="1" applyBorder="1" applyAlignment="1">
      <alignment horizontal="center" vertical="top" wrapText="1"/>
    </xf>
    <xf numFmtId="0" fontId="17" fillId="26" borderId="1" xfId="0" applyFont="1" applyFill="1" applyBorder="1" applyAlignment="1">
      <alignment horizontal="left" vertical="top"/>
    </xf>
    <xf numFmtId="0" fontId="102" fillId="4" borderId="39" xfId="0" applyFont="1" applyFill="1" applyBorder="1" applyAlignment="1">
      <alignment horizontal="left" vertical="top" wrapText="1"/>
    </xf>
    <xf numFmtId="0" fontId="101" fillId="4" borderId="39" xfId="0" applyFont="1" applyFill="1" applyBorder="1" applyAlignment="1">
      <alignment horizontal="left" vertical="top"/>
    </xf>
    <xf numFmtId="43" fontId="4" fillId="5" borderId="1" xfId="2" applyFont="1" applyFill="1" applyBorder="1" applyAlignment="1"/>
    <xf numFmtId="0" fontId="0" fillId="5" borderId="5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01" fillId="85" borderId="1" xfId="0" applyFont="1" applyFill="1" applyBorder="1" applyAlignment="1">
      <alignment horizontal="left" vertical="top"/>
    </xf>
    <xf numFmtId="0" fontId="102" fillId="85" borderId="1" xfId="0" applyFont="1" applyFill="1" applyBorder="1" applyAlignment="1">
      <alignment horizontal="left" vertical="top" wrapText="1"/>
    </xf>
    <xf numFmtId="0" fontId="102" fillId="4" borderId="39" xfId="0" applyFont="1" applyFill="1" applyBorder="1" applyAlignment="1">
      <alignment horizontal="center" vertical="top" wrapText="1"/>
    </xf>
    <xf numFmtId="43" fontId="102" fillId="4" borderId="39" xfId="2" applyFont="1" applyFill="1" applyBorder="1" applyAlignment="1">
      <alignment horizontal="right" vertical="top" wrapText="1"/>
    </xf>
    <xf numFmtId="0" fontId="101" fillId="86" borderId="2" xfId="0" applyFont="1" applyFill="1" applyBorder="1" applyAlignment="1">
      <alignment horizontal="left" vertical="top"/>
    </xf>
    <xf numFmtId="0" fontId="102" fillId="86" borderId="2" xfId="0" applyFont="1" applyFill="1" applyBorder="1" applyAlignment="1">
      <alignment horizontal="left" vertical="top" wrapText="1"/>
    </xf>
    <xf numFmtId="0" fontId="102" fillId="86" borderId="2" xfId="0" applyFont="1" applyFill="1" applyBorder="1" applyAlignment="1">
      <alignment horizontal="center" vertical="top" wrapText="1"/>
    </xf>
    <xf numFmtId="43" fontId="102" fillId="86" borderId="2" xfId="2" applyFont="1" applyFill="1" applyBorder="1" applyAlignment="1">
      <alignment horizontal="right" vertical="top" wrapText="1"/>
    </xf>
    <xf numFmtId="0" fontId="101" fillId="4" borderId="1" xfId="0" applyFont="1" applyFill="1" applyBorder="1" applyAlignment="1">
      <alignment horizontal="left" vertical="top"/>
    </xf>
    <xf numFmtId="0" fontId="102" fillId="4" borderId="1" xfId="0" applyFont="1" applyFill="1" applyBorder="1" applyAlignment="1">
      <alignment horizontal="left" vertical="top" wrapText="1"/>
    </xf>
    <xf numFmtId="0" fontId="102" fillId="4" borderId="1" xfId="0" applyFont="1" applyFill="1" applyBorder="1" applyAlignment="1">
      <alignment horizontal="center" vertical="top" wrapText="1"/>
    </xf>
    <xf numFmtId="43" fontId="102" fillId="4" borderId="1" xfId="2" applyFont="1" applyFill="1" applyBorder="1" applyAlignment="1">
      <alignment horizontal="right" vertical="top" wrapText="1"/>
    </xf>
    <xf numFmtId="0" fontId="0" fillId="5" borderId="5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wrapText="1"/>
    </xf>
    <xf numFmtId="43" fontId="4" fillId="0" borderId="2" xfId="2" applyFont="1" applyBorder="1"/>
    <xf numFmtId="43" fontId="102" fillId="4" borderId="61" xfId="2" applyFont="1" applyFill="1" applyBorder="1" applyAlignment="1">
      <alignment horizontal="right" vertical="top" wrapText="1"/>
    </xf>
    <xf numFmtId="0" fontId="102" fillId="5" borderId="39" xfId="0" applyFont="1" applyFill="1" applyBorder="1" applyAlignment="1">
      <alignment horizontal="left" vertical="top" wrapText="1"/>
    </xf>
    <xf numFmtId="0" fontId="101" fillId="5" borderId="39" xfId="0" applyFont="1" applyFill="1" applyBorder="1" applyAlignment="1">
      <alignment horizontal="left" vertical="top"/>
    </xf>
    <xf numFmtId="0" fontId="102" fillId="5" borderId="39" xfId="0" applyFont="1" applyFill="1" applyBorder="1" applyAlignment="1">
      <alignment horizontal="center" vertical="top" wrapText="1"/>
    </xf>
    <xf numFmtId="43" fontId="102" fillId="5" borderId="39" xfId="2" applyFont="1" applyFill="1" applyBorder="1" applyAlignment="1">
      <alignment horizontal="right" vertical="top" wrapText="1"/>
    </xf>
    <xf numFmtId="0" fontId="17" fillId="26" borderId="4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/>
    </xf>
    <xf numFmtId="0" fontId="17" fillId="26" borderId="2" xfId="0" applyFont="1" applyFill="1" applyBorder="1" applyAlignment="1">
      <alignment horizontal="left" vertical="top" wrapText="1"/>
    </xf>
    <xf numFmtId="0" fontId="17" fillId="26" borderId="2" xfId="0" applyFont="1" applyFill="1" applyBorder="1" applyAlignment="1">
      <alignment horizontal="left" vertical="top"/>
    </xf>
    <xf numFmtId="0" fontId="17" fillId="26" borderId="2" xfId="0" applyFont="1" applyFill="1" applyBorder="1" applyAlignment="1">
      <alignment horizontal="center" vertical="top" wrapText="1"/>
    </xf>
    <xf numFmtId="43" fontId="17" fillId="26" borderId="2" xfId="2" applyFont="1" applyFill="1" applyBorder="1" applyAlignment="1">
      <alignment horizontal="right" vertical="top" wrapText="1"/>
    </xf>
    <xf numFmtId="0" fontId="101" fillId="86" borderId="1" xfId="0" applyFont="1" applyFill="1" applyBorder="1" applyAlignment="1">
      <alignment horizontal="left" vertical="top"/>
    </xf>
    <xf numFmtId="0" fontId="102" fillId="86" borderId="1" xfId="0" applyFont="1" applyFill="1" applyBorder="1" applyAlignment="1">
      <alignment horizontal="left" vertical="top" wrapText="1"/>
    </xf>
    <xf numFmtId="0" fontId="102" fillId="86" borderId="1" xfId="0" applyFont="1" applyFill="1" applyBorder="1" applyAlignment="1">
      <alignment horizontal="center" vertical="top" wrapText="1"/>
    </xf>
    <xf numFmtId="43" fontId="102" fillId="86" borderId="1" xfId="2" applyFont="1" applyFill="1" applyBorder="1" applyAlignment="1">
      <alignment horizontal="right" vertical="top" wrapText="1"/>
    </xf>
    <xf numFmtId="0" fontId="17" fillId="5" borderId="4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/>
    </xf>
    <xf numFmtId="0" fontId="17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center" vertical="top" wrapText="1"/>
    </xf>
    <xf numFmtId="43" fontId="17" fillId="5" borderId="1" xfId="2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03" fillId="26" borderId="1" xfId="0" applyFont="1" applyFill="1" applyBorder="1" applyAlignment="1">
      <alignment horizontal="left" vertical="top"/>
    </xf>
    <xf numFmtId="49" fontId="104" fillId="5" borderId="39" xfId="0" applyNumberFormat="1" applyFont="1" applyFill="1" applyBorder="1" applyAlignment="1">
      <alignment horizontal="left" vertical="top" wrapText="1"/>
    </xf>
    <xf numFmtId="0" fontId="17" fillId="26" borderId="39" xfId="0" applyFont="1" applyFill="1" applyBorder="1" applyAlignment="1">
      <alignment horizontal="left" vertical="top" wrapText="1"/>
    </xf>
    <xf numFmtId="0" fontId="17" fillId="26" borderId="39" xfId="0" applyFont="1" applyFill="1" applyBorder="1" applyAlignment="1">
      <alignment horizontal="left" vertical="top"/>
    </xf>
    <xf numFmtId="0" fontId="17" fillId="26" borderId="39" xfId="0" applyFont="1" applyFill="1" applyBorder="1" applyAlignment="1">
      <alignment horizontal="center" vertical="top" wrapText="1"/>
    </xf>
    <xf numFmtId="0" fontId="105" fillId="4" borderId="39" xfId="0" applyFont="1" applyFill="1" applyBorder="1" applyAlignment="1">
      <alignment horizontal="left" vertical="top" wrapText="1"/>
    </xf>
    <xf numFmtId="2" fontId="106" fillId="0" borderId="55" xfId="0" applyNumberFormat="1" applyFont="1" applyBorder="1"/>
    <xf numFmtId="0" fontId="52" fillId="4" borderId="23" xfId="188" applyFont="1" applyFill="1" applyBorder="1" applyAlignment="1">
      <alignment horizontal="center" vertical="center" wrapText="1"/>
    </xf>
    <xf numFmtId="0" fontId="52" fillId="4" borderId="25" xfId="188" applyFont="1" applyFill="1" applyBorder="1" applyAlignment="1">
      <alignment horizontal="center" vertical="center" wrapText="1"/>
    </xf>
    <xf numFmtId="49" fontId="52" fillId="4" borderId="23" xfId="493" quotePrefix="1" applyNumberFormat="1" applyFont="1" applyFill="1" applyBorder="1" applyAlignment="1">
      <alignment horizontal="center" vertical="center"/>
    </xf>
    <xf numFmtId="49" fontId="52" fillId="4" borderId="24" xfId="493" quotePrefix="1" applyNumberFormat="1" applyFont="1" applyFill="1" applyBorder="1" applyAlignment="1">
      <alignment horizontal="center" vertical="center"/>
    </xf>
    <xf numFmtId="49" fontId="52" fillId="4" borderId="25" xfId="493" quotePrefix="1" applyNumberFormat="1" applyFont="1" applyFill="1" applyBorder="1" applyAlignment="1">
      <alignment horizontal="center" vertical="center"/>
    </xf>
    <xf numFmtId="0" fontId="52" fillId="4" borderId="23" xfId="188" applyFont="1" applyFill="1" applyBorder="1" applyAlignment="1">
      <alignment horizontal="center" vertical="center"/>
    </xf>
    <xf numFmtId="0" fontId="52" fillId="4" borderId="25" xfId="188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7" fillId="81" borderId="26" xfId="3" applyNumberFormat="1" applyFont="1" applyFill="1" applyBorder="1" applyAlignment="1" applyProtection="1">
      <alignment horizontal="center" vertical="center" wrapText="1"/>
    </xf>
    <xf numFmtId="0" fontId="97" fillId="81" borderId="27" xfId="3" applyNumberFormat="1" applyFont="1" applyFill="1" applyBorder="1" applyAlignment="1" applyProtection="1">
      <alignment horizontal="center" vertical="center" wrapText="1"/>
    </xf>
    <xf numFmtId="0" fontId="97" fillId="81" borderId="42" xfId="3" applyNumberFormat="1" applyFont="1" applyFill="1" applyBorder="1" applyAlignment="1" applyProtection="1">
      <alignment horizontal="center" vertical="center" wrapText="1"/>
    </xf>
    <xf numFmtId="0" fontId="98" fillId="81" borderId="29" xfId="3" applyFont="1" applyFill="1" applyBorder="1" applyAlignment="1">
      <alignment horizontal="center"/>
    </xf>
    <xf numFmtId="0" fontId="98" fillId="81" borderId="0" xfId="3" applyFont="1" applyFill="1" applyBorder="1" applyAlignment="1">
      <alignment horizontal="center"/>
    </xf>
    <xf numFmtId="0" fontId="98" fillId="81" borderId="41" xfId="3" applyFont="1" applyFill="1" applyBorder="1" applyAlignment="1">
      <alignment horizontal="center"/>
    </xf>
    <xf numFmtId="0" fontId="99" fillId="81" borderId="29" xfId="3" applyFont="1" applyFill="1" applyBorder="1" applyAlignment="1">
      <alignment horizontal="center" vertical="center"/>
    </xf>
    <xf numFmtId="0" fontId="99" fillId="81" borderId="0" xfId="3" applyFont="1" applyFill="1" applyBorder="1" applyAlignment="1">
      <alignment horizontal="center" vertical="center"/>
    </xf>
    <xf numFmtId="0" fontId="99" fillId="81" borderId="41" xfId="3" applyFont="1" applyFill="1" applyBorder="1" applyAlignment="1">
      <alignment horizontal="center" vertical="center"/>
    </xf>
    <xf numFmtId="0" fontId="53" fillId="5" borderId="29" xfId="188" applyFont="1" applyFill="1" applyBorder="1" applyAlignment="1">
      <alignment horizontal="center"/>
    </xf>
    <xf numFmtId="0" fontId="53" fillId="5" borderId="0" xfId="188" applyFont="1" applyFill="1" applyBorder="1" applyAlignment="1">
      <alignment horizontal="center"/>
    </xf>
    <xf numFmtId="0" fontId="53" fillId="5" borderId="41" xfId="188" applyFont="1" applyFill="1" applyBorder="1" applyAlignment="1">
      <alignment horizontal="center"/>
    </xf>
    <xf numFmtId="0" fontId="96" fillId="0" borderId="29" xfId="188" applyFont="1" applyFill="1" applyBorder="1" applyAlignment="1">
      <alignment horizontal="center" vertical="center" wrapText="1"/>
    </xf>
    <xf numFmtId="0" fontId="96" fillId="0" borderId="0" xfId="188" applyFont="1" applyFill="1" applyBorder="1" applyAlignment="1">
      <alignment horizontal="center" vertical="center" wrapText="1"/>
    </xf>
    <xf numFmtId="0" fontId="96" fillId="0" borderId="41" xfId="188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4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97" fillId="81" borderId="29" xfId="0" applyNumberFormat="1" applyFont="1" applyFill="1" applyBorder="1" applyAlignment="1" applyProtection="1">
      <alignment horizontal="center" vertical="center" wrapText="1"/>
    </xf>
    <xf numFmtId="0" fontId="97" fillId="81" borderId="0" xfId="0" applyNumberFormat="1" applyFont="1" applyFill="1" applyBorder="1" applyAlignment="1" applyProtection="1">
      <alignment horizontal="center" vertical="center" wrapText="1"/>
    </xf>
    <xf numFmtId="0" fontId="98" fillId="81" borderId="29" xfId="0" applyFont="1" applyFill="1" applyBorder="1" applyAlignment="1">
      <alignment horizontal="center"/>
    </xf>
    <xf numFmtId="0" fontId="98" fillId="81" borderId="0" xfId="0" applyFont="1" applyFill="1" applyBorder="1" applyAlignment="1">
      <alignment horizontal="center"/>
    </xf>
    <xf numFmtId="0" fontId="99" fillId="81" borderId="29" xfId="0" applyFont="1" applyFill="1" applyBorder="1" applyAlignment="1">
      <alignment horizontal="center" vertical="center"/>
    </xf>
    <xf numFmtId="0" fontId="99" fillId="81" borderId="0" xfId="0" applyFont="1" applyFill="1" applyBorder="1" applyAlignment="1">
      <alignment horizontal="center" vertical="center"/>
    </xf>
    <xf numFmtId="0" fontId="96" fillId="0" borderId="51" xfId="188" applyFont="1" applyFill="1" applyBorder="1" applyAlignment="1">
      <alignment horizontal="center" vertical="center" wrapText="1"/>
    </xf>
    <xf numFmtId="0" fontId="96" fillId="0" borderId="47" xfId="188" applyFont="1" applyFill="1" applyBorder="1" applyAlignment="1">
      <alignment horizontal="center" vertical="center" wrapText="1"/>
    </xf>
    <xf numFmtId="0" fontId="1" fillId="83" borderId="43" xfId="3292" applyFont="1" applyFill="1" applyBorder="1" applyAlignment="1">
      <alignment horizontal="left" vertical="center"/>
    </xf>
    <xf numFmtId="0" fontId="1" fillId="83" borderId="44" xfId="3292" applyFont="1" applyFill="1" applyBorder="1" applyAlignment="1">
      <alignment horizontal="left" vertical="center"/>
    </xf>
    <xf numFmtId="0" fontId="1" fillId="83" borderId="47" xfId="3292" applyFont="1" applyFill="1" applyBorder="1" applyAlignment="1">
      <alignment horizontal="left" vertical="center"/>
    </xf>
    <xf numFmtId="0" fontId="1" fillId="83" borderId="48" xfId="3292" applyFont="1" applyFill="1" applyBorder="1" applyAlignment="1">
      <alignment horizontal="left" vertical="center"/>
    </xf>
    <xf numFmtId="0" fontId="8" fillId="83" borderId="45" xfId="3292" applyFill="1" applyBorder="1" applyAlignment="1">
      <alignment horizontal="center" vertical="center"/>
    </xf>
    <xf numFmtId="0" fontId="8" fillId="83" borderId="49" xfId="3292" applyFill="1" applyBorder="1" applyAlignment="1">
      <alignment horizontal="center" vertical="center"/>
    </xf>
    <xf numFmtId="3" fontId="8" fillId="83" borderId="45" xfId="3292" applyNumberFormat="1" applyFill="1" applyBorder="1" applyAlignment="1">
      <alignment horizontal="center" vertical="center"/>
    </xf>
    <xf numFmtId="3" fontId="8" fillId="83" borderId="46" xfId="3292" applyNumberFormat="1" applyFill="1" applyBorder="1" applyAlignment="1">
      <alignment horizontal="right" vertical="center"/>
    </xf>
    <xf numFmtId="0" fontId="8" fillId="83" borderId="49" xfId="3292" applyFill="1" applyBorder="1" applyAlignment="1">
      <alignment horizontal="right" vertical="center"/>
    </xf>
    <xf numFmtId="0" fontId="1" fillId="0" borderId="31" xfId="3292" applyFont="1" applyBorder="1" applyAlignment="1">
      <alignment horizontal="center"/>
    </xf>
    <xf numFmtId="0" fontId="1" fillId="0" borderId="28" xfId="3292" applyFont="1" applyBorder="1" applyAlignment="1">
      <alignment horizontal="center"/>
    </xf>
    <xf numFmtId="0" fontId="53" fillId="0" borderId="29" xfId="3292" applyFont="1" applyBorder="1" applyAlignment="1">
      <alignment horizontal="center" vertical="center"/>
    </xf>
    <xf numFmtId="0" fontId="53" fillId="0" borderId="0" xfId="3292" applyFont="1" applyBorder="1" applyAlignment="1">
      <alignment horizontal="center" vertical="center"/>
    </xf>
    <xf numFmtId="0" fontId="8" fillId="0" borderId="30" xfId="3292" applyBorder="1" applyAlignment="1">
      <alignment horizontal="center" vertical="center"/>
    </xf>
    <xf numFmtId="4" fontId="8" fillId="84" borderId="30" xfId="3292" applyNumberFormat="1" applyFill="1" applyBorder="1" applyAlignment="1">
      <alignment horizontal="right" vertical="center"/>
    </xf>
    <xf numFmtId="0" fontId="8" fillId="84" borderId="30" xfId="3292" applyFill="1" applyBorder="1" applyAlignment="1">
      <alignment horizontal="right" vertical="center"/>
    </xf>
    <xf numFmtId="3" fontId="8" fillId="0" borderId="30" xfId="3292" applyNumberFormat="1" applyFill="1" applyBorder="1" applyAlignment="1">
      <alignment horizontal="center" vertical="center"/>
    </xf>
    <xf numFmtId="3" fontId="8" fillId="0" borderId="30" xfId="3292" applyNumberFormat="1" applyBorder="1" applyAlignment="1">
      <alignment horizontal="center" vertical="center"/>
    </xf>
    <xf numFmtId="0" fontId="0" fillId="0" borderId="30" xfId="3292" applyFont="1" applyBorder="1" applyAlignment="1">
      <alignment horizontal="left" vertical="center"/>
    </xf>
    <xf numFmtId="0" fontId="8" fillId="0" borderId="30" xfId="3292" applyBorder="1" applyAlignment="1">
      <alignment horizontal="left" vertical="center"/>
    </xf>
    <xf numFmtId="0" fontId="1" fillId="4" borderId="43" xfId="0" applyFont="1" applyFill="1" applyBorder="1" applyAlignment="1">
      <alignment horizontal="right" vertical="center" wrapText="1"/>
    </xf>
    <xf numFmtId="0" fontId="1" fillId="4" borderId="47" xfId="0" applyFont="1" applyFill="1" applyBorder="1" applyAlignment="1">
      <alignment horizontal="right" vertical="center" wrapText="1"/>
    </xf>
    <xf numFmtId="4" fontId="1" fillId="4" borderId="45" xfId="0" applyNumberFormat="1" applyFont="1" applyFill="1" applyBorder="1" applyAlignment="1">
      <alignment horizontal="center" vertical="center"/>
    </xf>
    <xf numFmtId="4" fontId="1" fillId="4" borderId="49" xfId="0" applyNumberFormat="1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" fillId="4" borderId="1" xfId="0" applyFont="1" applyFill="1" applyBorder="1"/>
    <xf numFmtId="2" fontId="1" fillId="4" borderId="55" xfId="0" applyNumberFormat="1" applyFont="1" applyFill="1" applyBorder="1"/>
    <xf numFmtId="2" fontId="1" fillId="4" borderId="3" xfId="0" applyNumberFormat="1" applyFont="1" applyFill="1" applyBorder="1"/>
    <xf numFmtId="43" fontId="17" fillId="5" borderId="1" xfId="2" applyFont="1" applyFill="1" applyBorder="1" applyAlignment="1"/>
    <xf numFmtId="2" fontId="0" fillId="5" borderId="55" xfId="0" applyNumberFormat="1" applyFill="1" applyBorder="1"/>
    <xf numFmtId="43" fontId="17" fillId="5" borderId="1" xfId="2" applyFont="1" applyFill="1" applyBorder="1"/>
    <xf numFmtId="43" fontId="17" fillId="26" borderId="62" xfId="2" applyFont="1" applyFill="1" applyBorder="1" applyAlignment="1">
      <alignment horizontal="right" vertical="top" wrapText="1"/>
    </xf>
    <xf numFmtId="0" fontId="0" fillId="0" borderId="62" xfId="0" applyBorder="1" applyAlignment="1">
      <alignment horizontal="center"/>
    </xf>
    <xf numFmtId="0" fontId="1" fillId="4" borderId="62" xfId="0" applyFont="1" applyFill="1" applyBorder="1"/>
    <xf numFmtId="2" fontId="1" fillId="4" borderId="63" xfId="0" applyNumberFormat="1" applyFont="1" applyFill="1" applyBorder="1"/>
    <xf numFmtId="0" fontId="7" fillId="4" borderId="64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left"/>
    </xf>
    <xf numFmtId="0" fontId="7" fillId="4" borderId="65" xfId="0" applyFont="1" applyFill="1" applyBorder="1" applyAlignment="1">
      <alignment horizontal="left"/>
    </xf>
    <xf numFmtId="2" fontId="7" fillId="4" borderId="25" xfId="0" applyNumberFormat="1" applyFont="1" applyFill="1" applyBorder="1"/>
  </cellXfs>
  <cellStyles count="6215">
    <cellStyle name="0,0_x000a__x000a_NA_x000a__x000a_" xfId="1410"/>
    <cellStyle name="0,0_x000a__x000a_NA_x000a__x000a_ 2" xfId="1411"/>
    <cellStyle name="0,0_x000a__x000a_NA_x000a__x000a_ 2 2" xfId="1412"/>
    <cellStyle name="0,0_x000d__x000a_NA_x000d__x000a_" xfId="499"/>
    <cellStyle name="0,0_x000d__x000a_NA_x000d__x000a_ 2" xfId="500"/>
    <cellStyle name="0,0_x000d__x000a_NA_x000d__x000a_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27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314325</xdr:colOff>
      <xdr:row>2</xdr:row>
      <xdr:rowOff>133350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zoomScaleNormal="100" workbookViewId="0">
      <selection activeCell="M227" sqref="M227"/>
    </sheetView>
  </sheetViews>
  <sheetFormatPr defaultRowHeight="15"/>
  <cols>
    <col min="1" max="1" width="10.42578125" customWidth="1"/>
    <col min="2" max="2" width="1.140625" customWidth="1"/>
    <col min="3" max="3" width="54.5703125" customWidth="1"/>
    <col min="4" max="4" width="6.140625" customWidth="1"/>
    <col min="5" max="5" width="9.28515625" customWidth="1"/>
    <col min="6" max="6" width="11" customWidth="1"/>
    <col min="7" max="9" width="11.42578125" customWidth="1"/>
    <col min="10" max="10" width="15" style="6" customWidth="1"/>
  </cols>
  <sheetData>
    <row r="1" spans="1:10" ht="60.75" customHeight="1">
      <c r="A1" s="115" t="s">
        <v>14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>
      <c r="A2" s="118" t="s">
        <v>15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>
      <c r="A3" s="121" t="s">
        <v>16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8">
      <c r="A4" s="124" t="s">
        <v>17</v>
      </c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6.5" customHeight="1" thickBot="1">
      <c r="A5" s="127" t="s">
        <v>331</v>
      </c>
      <c r="B5" s="128"/>
      <c r="C5" s="128"/>
      <c r="D5" s="128"/>
      <c r="E5" s="128"/>
      <c r="F5" s="128"/>
      <c r="G5" s="128"/>
      <c r="H5" s="128"/>
      <c r="I5" s="128"/>
      <c r="J5" s="129"/>
    </row>
    <row r="6" spans="1:10" ht="33" customHeight="1" thickBot="1">
      <c r="A6" s="103" t="s">
        <v>30</v>
      </c>
      <c r="B6" s="104"/>
      <c r="C6" s="18" t="s">
        <v>411</v>
      </c>
      <c r="D6" s="105" t="s">
        <v>409</v>
      </c>
      <c r="E6" s="106"/>
      <c r="F6" s="107"/>
      <c r="G6" s="19" t="s">
        <v>29</v>
      </c>
      <c r="H6" s="45" t="s">
        <v>40</v>
      </c>
      <c r="I6" s="108" t="s">
        <v>410</v>
      </c>
      <c r="J6" s="109"/>
    </row>
    <row r="7" spans="1:10" ht="7.5" customHeight="1" thickBot="1">
      <c r="A7" s="110"/>
      <c r="B7" s="111"/>
      <c r="C7" s="111"/>
      <c r="D7" s="111"/>
      <c r="E7" s="111"/>
      <c r="F7" s="111"/>
      <c r="G7" s="111"/>
      <c r="H7" s="111"/>
      <c r="I7" s="111"/>
      <c r="J7" s="112"/>
    </row>
    <row r="8" spans="1:10" ht="33.75" customHeight="1">
      <c r="A8" s="32" t="s">
        <v>1</v>
      </c>
      <c r="B8" s="33" t="s">
        <v>2</v>
      </c>
      <c r="C8" s="34"/>
      <c r="D8" s="35" t="s">
        <v>3</v>
      </c>
      <c r="E8" s="35" t="s">
        <v>4</v>
      </c>
      <c r="F8" s="35" t="s">
        <v>5</v>
      </c>
      <c r="G8" s="35" t="s">
        <v>6</v>
      </c>
      <c r="H8" s="35" t="s">
        <v>37</v>
      </c>
      <c r="I8" s="35" t="s">
        <v>8</v>
      </c>
      <c r="J8" s="36" t="s">
        <v>9</v>
      </c>
    </row>
    <row r="9" spans="1:10">
      <c r="A9" s="57" t="s">
        <v>38</v>
      </c>
      <c r="B9" s="57" t="s">
        <v>39</v>
      </c>
      <c r="C9" s="58"/>
      <c r="D9" s="17"/>
      <c r="E9" s="17"/>
      <c r="F9" s="17"/>
      <c r="G9" s="17"/>
      <c r="H9" s="17"/>
      <c r="I9" s="17"/>
      <c r="J9" s="29"/>
    </row>
    <row r="10" spans="1:10">
      <c r="A10" s="50" t="s">
        <v>333</v>
      </c>
      <c r="B10" s="51" t="s">
        <v>334</v>
      </c>
      <c r="C10" s="50"/>
      <c r="D10" s="1"/>
      <c r="E10" s="2"/>
      <c r="F10" s="2"/>
      <c r="G10" s="2"/>
      <c r="H10" s="2"/>
      <c r="I10" s="2"/>
      <c r="J10" s="30"/>
    </row>
    <row r="11" spans="1:10" ht="16.5" customHeight="1">
      <c r="A11" s="46" t="s">
        <v>332</v>
      </c>
      <c r="B11" s="49"/>
      <c r="C11" s="46" t="s">
        <v>335</v>
      </c>
      <c r="D11" s="48" t="s">
        <v>0</v>
      </c>
      <c r="E11" s="93">
        <v>527.48</v>
      </c>
      <c r="F11" s="93">
        <v>64.05</v>
      </c>
      <c r="G11" s="93">
        <f>E11+F11</f>
        <v>591.53</v>
      </c>
      <c r="H11" s="40">
        <f>G11*1.2293</f>
        <v>727.16782899999998</v>
      </c>
      <c r="I11" s="40">
        <v>6</v>
      </c>
      <c r="J11" s="31">
        <f>H11*I11</f>
        <v>4363.0069739999999</v>
      </c>
    </row>
    <row r="12" spans="1:10" ht="16.5" customHeight="1">
      <c r="A12" s="50" t="s">
        <v>41</v>
      </c>
      <c r="B12" s="51" t="s">
        <v>42</v>
      </c>
      <c r="C12" s="50"/>
      <c r="D12" s="59"/>
      <c r="E12" s="60"/>
      <c r="F12" s="60"/>
      <c r="G12" s="60"/>
      <c r="H12" s="2"/>
      <c r="I12" s="2"/>
      <c r="J12" s="30"/>
    </row>
    <row r="13" spans="1:10" ht="39.75" customHeight="1">
      <c r="A13" s="46" t="s">
        <v>43</v>
      </c>
      <c r="B13" s="49"/>
      <c r="C13" s="46" t="s">
        <v>44</v>
      </c>
      <c r="D13" s="48" t="s">
        <v>0</v>
      </c>
      <c r="E13" s="93">
        <v>2.21</v>
      </c>
      <c r="F13" s="93">
        <v>0.12</v>
      </c>
      <c r="G13" s="93">
        <f>E13+F13</f>
        <v>2.33</v>
      </c>
      <c r="H13" s="40">
        <f>G13*1.2293</f>
        <v>2.8642690000000002</v>
      </c>
      <c r="I13" s="40">
        <v>70</v>
      </c>
      <c r="J13" s="31">
        <f>H13*I13</f>
        <v>200.49883</v>
      </c>
    </row>
    <row r="14" spans="1:10">
      <c r="A14" s="131"/>
      <c r="B14" s="132"/>
      <c r="C14" s="132"/>
      <c r="D14" s="132"/>
      <c r="E14" s="132"/>
      <c r="F14" s="132"/>
      <c r="G14" s="132"/>
      <c r="H14" s="42"/>
      <c r="I14" s="168" t="s">
        <v>18</v>
      </c>
      <c r="J14" s="169">
        <f>SUM(J11:J13)</f>
        <v>4563.5058040000004</v>
      </c>
    </row>
    <row r="15" spans="1:10">
      <c r="A15" s="61" t="s">
        <v>45</v>
      </c>
      <c r="B15" s="61" t="s">
        <v>46</v>
      </c>
      <c r="C15" s="62"/>
      <c r="D15" s="63"/>
      <c r="E15" s="64"/>
      <c r="F15" s="64"/>
      <c r="G15" s="64"/>
      <c r="H15" s="64"/>
      <c r="I15" s="64"/>
      <c r="J15" s="64"/>
    </row>
    <row r="16" spans="1:10">
      <c r="A16" s="65" t="s">
        <v>47</v>
      </c>
      <c r="B16" s="65" t="s">
        <v>48</v>
      </c>
      <c r="C16" s="66"/>
      <c r="D16" s="67"/>
      <c r="E16" s="68"/>
      <c r="F16" s="68"/>
      <c r="G16" s="68"/>
      <c r="H16" s="2"/>
      <c r="I16" s="2"/>
      <c r="J16" s="2"/>
    </row>
    <row r="17" spans="1:10">
      <c r="A17" s="46" t="s">
        <v>49</v>
      </c>
      <c r="B17" s="49"/>
      <c r="C17" s="46" t="s">
        <v>50</v>
      </c>
      <c r="D17" s="48" t="s">
        <v>0</v>
      </c>
      <c r="E17" s="93">
        <v>22.88</v>
      </c>
      <c r="F17" s="93">
        <v>40.19</v>
      </c>
      <c r="G17" s="93">
        <f>E17+F17</f>
        <v>63.069999999999993</v>
      </c>
      <c r="H17" s="40">
        <f>G17*1.2293</f>
        <v>77.531950999999992</v>
      </c>
      <c r="I17" s="52">
        <f>(45*0.3*2)/2</f>
        <v>13.5</v>
      </c>
      <c r="J17" s="31">
        <f>H17*I17</f>
        <v>1046.6813384999998</v>
      </c>
    </row>
    <row r="18" spans="1:10">
      <c r="A18" s="46" t="s">
        <v>63</v>
      </c>
      <c r="B18" s="49"/>
      <c r="C18" s="46" t="s">
        <v>64</v>
      </c>
      <c r="D18" s="48" t="s">
        <v>0</v>
      </c>
      <c r="E18" s="93">
        <v>97.11</v>
      </c>
      <c r="F18" s="93">
        <v>46.38</v>
      </c>
      <c r="G18" s="93">
        <f>E18+F18</f>
        <v>143.49</v>
      </c>
      <c r="H18" s="40">
        <f>G18*1.2293</f>
        <v>176.39225700000003</v>
      </c>
      <c r="I18" s="52">
        <f>((15*3*0.3)/2)</f>
        <v>6.75</v>
      </c>
      <c r="J18" s="31">
        <f>H18*I18</f>
        <v>1190.6477347500002</v>
      </c>
    </row>
    <row r="19" spans="1:10" ht="25.5">
      <c r="A19" s="46" t="s">
        <v>65</v>
      </c>
      <c r="B19" s="49"/>
      <c r="C19" s="46" t="s">
        <v>66</v>
      </c>
      <c r="D19" s="48" t="s">
        <v>0</v>
      </c>
      <c r="E19" s="93">
        <v>0</v>
      </c>
      <c r="F19" s="93">
        <v>5.67</v>
      </c>
      <c r="G19" s="93">
        <f>E19+F19</f>
        <v>5.67</v>
      </c>
      <c r="H19" s="40">
        <f>G19*1.2293</f>
        <v>6.9701310000000003</v>
      </c>
      <c r="I19" s="52">
        <f>I17+I18</f>
        <v>20.25</v>
      </c>
      <c r="J19" s="31">
        <f>H19*I19</f>
        <v>141.14515274999999</v>
      </c>
    </row>
    <row r="20" spans="1:10">
      <c r="A20" s="3"/>
      <c r="B20" s="3"/>
      <c r="C20" s="4"/>
      <c r="D20" s="3"/>
      <c r="E20" s="5"/>
      <c r="F20" s="5"/>
      <c r="G20" s="5"/>
      <c r="H20" s="5"/>
      <c r="I20" s="168" t="s">
        <v>18</v>
      </c>
      <c r="J20" s="170">
        <f>SUM(J17:J19)</f>
        <v>2378.4742259999998</v>
      </c>
    </row>
    <row r="21" spans="1:10">
      <c r="A21" s="61" t="s">
        <v>51</v>
      </c>
      <c r="B21" s="61" t="s">
        <v>52</v>
      </c>
      <c r="C21" s="62"/>
      <c r="D21" s="63"/>
      <c r="E21" s="64"/>
      <c r="F21" s="64"/>
      <c r="G21" s="64"/>
      <c r="H21" s="64"/>
      <c r="I21" s="64"/>
      <c r="J21" s="64"/>
    </row>
    <row r="22" spans="1:10">
      <c r="A22" s="65" t="s">
        <v>53</v>
      </c>
      <c r="B22" s="65" t="s">
        <v>54</v>
      </c>
      <c r="C22" s="66"/>
      <c r="D22" s="67"/>
      <c r="E22" s="68"/>
      <c r="F22" s="68"/>
      <c r="G22" s="68"/>
      <c r="H22" s="2"/>
      <c r="I22" s="2"/>
      <c r="J22" s="2"/>
    </row>
    <row r="23" spans="1:10">
      <c r="A23" s="46" t="s">
        <v>55</v>
      </c>
      <c r="B23" s="49"/>
      <c r="C23" s="46" t="s">
        <v>56</v>
      </c>
      <c r="D23" s="48" t="s">
        <v>36</v>
      </c>
      <c r="E23" s="93">
        <v>7.16</v>
      </c>
      <c r="F23" s="93">
        <v>1.79</v>
      </c>
      <c r="G23" s="93">
        <f>E23+F23</f>
        <v>8.9499999999999993</v>
      </c>
      <c r="H23" s="40">
        <f>G23*1.2293</f>
        <v>11.002234999999999</v>
      </c>
      <c r="I23" s="171">
        <f>49.99*18</f>
        <v>899.82</v>
      </c>
      <c r="J23" s="5">
        <f>H23*I23</f>
        <v>9900.031097699999</v>
      </c>
    </row>
    <row r="24" spans="1:10">
      <c r="A24" s="50" t="s">
        <v>87</v>
      </c>
      <c r="B24" s="51" t="s">
        <v>88</v>
      </c>
      <c r="C24" s="50"/>
      <c r="D24" s="59"/>
      <c r="E24" s="60"/>
      <c r="F24" s="60"/>
      <c r="G24" s="60"/>
      <c r="H24" s="60"/>
      <c r="I24" s="60"/>
      <c r="J24" s="60"/>
    </row>
    <row r="25" spans="1:10">
      <c r="A25" s="46" t="s">
        <v>35</v>
      </c>
      <c r="B25" s="49"/>
      <c r="C25" s="46" t="s">
        <v>89</v>
      </c>
      <c r="D25" s="48" t="s">
        <v>36</v>
      </c>
      <c r="E25" s="93">
        <v>6.95</v>
      </c>
      <c r="F25" s="93">
        <v>0.9</v>
      </c>
      <c r="G25" s="93">
        <f>E25+F25</f>
        <v>7.8500000000000005</v>
      </c>
      <c r="H25" s="40">
        <f>G25*1.2293</f>
        <v>9.6500050000000019</v>
      </c>
      <c r="I25" s="171">
        <v>30</v>
      </c>
      <c r="J25" s="5">
        <f>H25*I25</f>
        <v>289.50015000000008</v>
      </c>
    </row>
    <row r="26" spans="1:10">
      <c r="A26" s="71"/>
      <c r="B26" s="71"/>
      <c r="C26" s="72"/>
      <c r="D26" s="71"/>
      <c r="E26" s="73"/>
      <c r="F26" s="73"/>
      <c r="G26" s="73"/>
      <c r="H26" s="73"/>
      <c r="I26" s="168" t="s">
        <v>18</v>
      </c>
      <c r="J26" s="170">
        <f>SUM(J23:J25)</f>
        <v>10189.531247699999</v>
      </c>
    </row>
    <row r="27" spans="1:10">
      <c r="A27" s="61" t="s">
        <v>57</v>
      </c>
      <c r="B27" s="61" t="s">
        <v>58</v>
      </c>
      <c r="C27" s="62"/>
      <c r="D27" s="63"/>
      <c r="E27" s="64"/>
      <c r="F27" s="64"/>
      <c r="G27" s="64"/>
      <c r="H27" s="64"/>
      <c r="I27" s="64"/>
      <c r="J27" s="64"/>
    </row>
    <row r="28" spans="1:10">
      <c r="A28" s="65" t="s">
        <v>59</v>
      </c>
      <c r="B28" s="65" t="s">
        <v>60</v>
      </c>
      <c r="C28" s="66"/>
      <c r="D28" s="67"/>
      <c r="E28" s="68"/>
      <c r="F28" s="68"/>
      <c r="G28" s="68"/>
      <c r="H28" s="68"/>
      <c r="I28" s="68"/>
      <c r="J28" s="68"/>
    </row>
    <row r="29" spans="1:10">
      <c r="A29" s="46" t="s">
        <v>61</v>
      </c>
      <c r="B29" s="49"/>
      <c r="C29" s="46" t="s">
        <v>62</v>
      </c>
      <c r="D29" s="48" t="s">
        <v>10</v>
      </c>
      <c r="E29" s="93">
        <v>83.54</v>
      </c>
      <c r="F29" s="93">
        <v>1.4</v>
      </c>
      <c r="G29" s="93">
        <f>E29+F29</f>
        <v>84.940000000000012</v>
      </c>
      <c r="H29" s="40">
        <f>G29*1.2293</f>
        <v>104.41674200000001</v>
      </c>
      <c r="I29" s="40">
        <f>15*3</f>
        <v>45</v>
      </c>
      <c r="J29" s="5">
        <f>H29*I29</f>
        <v>4698.7533900000008</v>
      </c>
    </row>
    <row r="30" spans="1:10">
      <c r="A30" s="38"/>
      <c r="B30" s="39"/>
      <c r="C30" s="39"/>
      <c r="D30" s="39"/>
      <c r="E30" s="39"/>
      <c r="F30" s="39"/>
      <c r="G30" s="39"/>
      <c r="H30" s="42"/>
      <c r="I30" s="168" t="s">
        <v>18</v>
      </c>
      <c r="J30" s="169">
        <f>SUM(J29)</f>
        <v>4698.7533900000008</v>
      </c>
    </row>
    <row r="31" spans="1:10">
      <c r="A31" s="61" t="s">
        <v>67</v>
      </c>
      <c r="B31" s="61" t="s">
        <v>68</v>
      </c>
      <c r="C31" s="62"/>
      <c r="D31" s="63"/>
      <c r="E31" s="64"/>
      <c r="F31" s="64"/>
      <c r="G31" s="64"/>
      <c r="H31" s="64"/>
      <c r="I31" s="64"/>
      <c r="J31" s="64"/>
    </row>
    <row r="32" spans="1:10">
      <c r="A32" s="65" t="s">
        <v>69</v>
      </c>
      <c r="B32" s="65" t="s">
        <v>70</v>
      </c>
      <c r="C32" s="66"/>
      <c r="D32" s="67"/>
      <c r="E32" s="68"/>
      <c r="F32" s="68"/>
      <c r="G32" s="68"/>
      <c r="H32" s="2"/>
      <c r="I32" s="2"/>
      <c r="J32" s="30"/>
    </row>
    <row r="33" spans="1:10">
      <c r="A33" s="46" t="s">
        <v>77</v>
      </c>
      <c r="B33" s="49"/>
      <c r="C33" s="46" t="s">
        <v>78</v>
      </c>
      <c r="D33" s="48" t="s">
        <v>11</v>
      </c>
      <c r="E33" s="93">
        <v>308.25</v>
      </c>
      <c r="F33" s="93">
        <v>0</v>
      </c>
      <c r="G33" s="93">
        <f>E33+F33</f>
        <v>308.25</v>
      </c>
      <c r="H33" s="40">
        <f t="shared" ref="H33" si="0">G33*1.2293</f>
        <v>378.93172500000003</v>
      </c>
      <c r="I33" s="52">
        <f>(14*5*0.1)</f>
        <v>7</v>
      </c>
      <c r="J33" s="31">
        <f t="shared" ref="J33" si="1">H33*I33</f>
        <v>2652.5220750000003</v>
      </c>
    </row>
    <row r="34" spans="1:10" ht="17.25" customHeight="1">
      <c r="A34" s="46" t="s">
        <v>31</v>
      </c>
      <c r="B34" s="49"/>
      <c r="C34" s="46" t="s">
        <v>32</v>
      </c>
      <c r="D34" s="48" t="s">
        <v>11</v>
      </c>
      <c r="E34" s="93">
        <v>332.44</v>
      </c>
      <c r="F34" s="93">
        <v>0</v>
      </c>
      <c r="G34" s="93">
        <f>E34+F34</f>
        <v>332.44</v>
      </c>
      <c r="H34" s="40">
        <f t="shared" ref="H34:H38" si="2">G34*1.2293</f>
        <v>408.66849200000001</v>
      </c>
      <c r="I34" s="52">
        <f>((3.1415*0.25*0.25/4)*15*3)+(45*0.3*0.2)+(45*0.15*0.25)+(12.82*3.9*0.1)</f>
        <v>11.596167187500001</v>
      </c>
      <c r="J34" s="31">
        <f t="shared" ref="J34:J38" si="3">H34*I34</f>
        <v>4738.988157495507</v>
      </c>
    </row>
    <row r="35" spans="1:10" ht="17.25" customHeight="1">
      <c r="A35" s="50" t="s">
        <v>71</v>
      </c>
      <c r="B35" s="51" t="s">
        <v>72</v>
      </c>
      <c r="C35" s="50"/>
      <c r="D35" s="59"/>
      <c r="E35" s="60"/>
      <c r="F35" s="60"/>
      <c r="G35" s="60"/>
      <c r="H35" s="60"/>
      <c r="I35" s="60"/>
      <c r="J35" s="60"/>
    </row>
    <row r="36" spans="1:10" ht="27" customHeight="1">
      <c r="A36" s="46" t="s">
        <v>33</v>
      </c>
      <c r="B36" s="49"/>
      <c r="C36" s="46" t="s">
        <v>34</v>
      </c>
      <c r="D36" s="48" t="s">
        <v>11</v>
      </c>
      <c r="E36" s="93">
        <v>0</v>
      </c>
      <c r="F36" s="93">
        <v>58.79</v>
      </c>
      <c r="G36" s="93">
        <f>E36+F36</f>
        <v>58.79</v>
      </c>
      <c r="H36" s="40">
        <f t="shared" si="2"/>
        <v>72.270547000000008</v>
      </c>
      <c r="I36" s="52">
        <f>I33</f>
        <v>7</v>
      </c>
      <c r="J36" s="31">
        <f t="shared" si="3"/>
        <v>505.89382900000004</v>
      </c>
    </row>
    <row r="37" spans="1:10" ht="28.5" customHeight="1">
      <c r="A37" s="46" t="s">
        <v>73</v>
      </c>
      <c r="B37" s="49"/>
      <c r="C37" s="46" t="s">
        <v>74</v>
      </c>
      <c r="D37" s="48" t="s">
        <v>11</v>
      </c>
      <c r="E37" s="93">
        <v>0</v>
      </c>
      <c r="F37" s="93">
        <v>117.58</v>
      </c>
      <c r="G37" s="93">
        <f t="shared" ref="G37:G40" si="4">E37+F37</f>
        <v>117.58</v>
      </c>
      <c r="H37" s="40">
        <f t="shared" si="2"/>
        <v>144.54109400000002</v>
      </c>
      <c r="I37" s="52">
        <f>((3.1415*0.25*0.25/4)*15*3)+(46*0.3*0.2)</f>
        <v>4.9688671874999999</v>
      </c>
      <c r="J37" s="31">
        <f t="shared" si="3"/>
        <v>718.20549922195323</v>
      </c>
    </row>
    <row r="38" spans="1:10" ht="30.75" customHeight="1">
      <c r="A38" s="46" t="s">
        <v>75</v>
      </c>
      <c r="B38" s="49"/>
      <c r="C38" s="46" t="s">
        <v>76</v>
      </c>
      <c r="D38" s="48" t="s">
        <v>11</v>
      </c>
      <c r="E38" s="93">
        <v>0</v>
      </c>
      <c r="F38" s="93">
        <v>81.22</v>
      </c>
      <c r="G38" s="93">
        <f t="shared" si="4"/>
        <v>81.22</v>
      </c>
      <c r="H38" s="40">
        <f t="shared" si="2"/>
        <v>99.84374600000001</v>
      </c>
      <c r="I38" s="52">
        <f>(45*0.25*0.15)</f>
        <v>1.6875</v>
      </c>
      <c r="J38" s="31">
        <f t="shared" si="3"/>
        <v>168.48632137500002</v>
      </c>
    </row>
    <row r="39" spans="1:10" ht="30.75" customHeight="1">
      <c r="A39" s="46" t="s">
        <v>79</v>
      </c>
      <c r="B39" s="49"/>
      <c r="C39" s="46" t="s">
        <v>80</v>
      </c>
      <c r="D39" s="48" t="s">
        <v>11</v>
      </c>
      <c r="E39" s="93">
        <v>35.1</v>
      </c>
      <c r="F39" s="93">
        <v>89.7</v>
      </c>
      <c r="G39" s="93">
        <f t="shared" si="4"/>
        <v>124.80000000000001</v>
      </c>
      <c r="H39" s="40">
        <f t="shared" ref="H39" si="5">G39*1.2293</f>
        <v>153.41664000000003</v>
      </c>
      <c r="I39" s="52">
        <f>12.82*3.9*0.1</f>
        <v>4.9998000000000005</v>
      </c>
      <c r="J39" s="31">
        <f t="shared" ref="J39" si="6">H39*I39</f>
        <v>767.05251667200025</v>
      </c>
    </row>
    <row r="40" spans="1:10" ht="28.5" customHeight="1">
      <c r="A40" s="46" t="s">
        <v>323</v>
      </c>
      <c r="B40" s="49"/>
      <c r="C40" s="46" t="s">
        <v>324</v>
      </c>
      <c r="D40" s="48" t="s">
        <v>0</v>
      </c>
      <c r="E40" s="93">
        <v>12.52</v>
      </c>
      <c r="F40" s="93">
        <v>0</v>
      </c>
      <c r="G40" s="93">
        <f t="shared" si="4"/>
        <v>12.52</v>
      </c>
      <c r="H40" s="40">
        <f t="shared" ref="H40" si="7">G40*1.2293</f>
        <v>15.390836</v>
      </c>
      <c r="I40" s="52">
        <f>(5+5+14+14)*0.6</f>
        <v>22.8</v>
      </c>
      <c r="J40" s="31">
        <f t="shared" ref="J40" si="8">H40*I40</f>
        <v>350.91106080000003</v>
      </c>
    </row>
    <row r="41" spans="1:10">
      <c r="A41" s="113"/>
      <c r="B41" s="114"/>
      <c r="C41" s="114"/>
      <c r="D41" s="114"/>
      <c r="E41" s="114"/>
      <c r="F41" s="114"/>
      <c r="G41" s="114"/>
      <c r="H41" s="41"/>
      <c r="I41" s="168" t="s">
        <v>18</v>
      </c>
      <c r="J41" s="169">
        <f>SUM(J33:J40)</f>
        <v>9902.0594595644598</v>
      </c>
    </row>
    <row r="42" spans="1:10">
      <c r="A42" s="61" t="s">
        <v>81</v>
      </c>
      <c r="B42" s="61" t="s">
        <v>82</v>
      </c>
      <c r="C42" s="62"/>
      <c r="D42" s="63"/>
      <c r="E42" s="64"/>
      <c r="F42" s="64"/>
      <c r="G42" s="64"/>
      <c r="H42" s="64"/>
      <c r="I42" s="64"/>
      <c r="J42" s="64"/>
    </row>
    <row r="43" spans="1:10">
      <c r="A43" s="50" t="s">
        <v>83</v>
      </c>
      <c r="B43" s="51" t="s">
        <v>84</v>
      </c>
      <c r="C43" s="50"/>
      <c r="D43" s="59"/>
      <c r="E43" s="60"/>
      <c r="F43" s="60"/>
      <c r="G43" s="60"/>
      <c r="H43" s="60"/>
      <c r="I43" s="60"/>
      <c r="J43" s="60"/>
    </row>
    <row r="44" spans="1:10" ht="25.5">
      <c r="A44" s="46" t="s">
        <v>340</v>
      </c>
      <c r="B44" s="49"/>
      <c r="C44" s="46" t="s">
        <v>341</v>
      </c>
      <c r="D44" s="48" t="s">
        <v>0</v>
      </c>
      <c r="E44" s="93">
        <v>23.35</v>
      </c>
      <c r="F44" s="93">
        <v>22.65</v>
      </c>
      <c r="G44" s="93">
        <f>E44+F44</f>
        <v>46</v>
      </c>
      <c r="H44" s="40">
        <f t="shared" ref="H44" si="9">G44*1.2293</f>
        <v>56.547800000000002</v>
      </c>
      <c r="I44" s="52">
        <f>((2.55+2.55+2.55+4.4)*3)</f>
        <v>36.150000000000006</v>
      </c>
      <c r="J44" s="31">
        <f t="shared" ref="J44" si="10">H44*I44</f>
        <v>2044.2029700000005</v>
      </c>
    </row>
    <row r="45" spans="1:10" ht="15.75" customHeight="1">
      <c r="A45" s="46" t="s">
        <v>85</v>
      </c>
      <c r="B45" s="49"/>
      <c r="C45" s="46" t="s">
        <v>86</v>
      </c>
      <c r="D45" s="48" t="s">
        <v>0</v>
      </c>
      <c r="E45" s="93">
        <v>32.130000000000003</v>
      </c>
      <c r="F45" s="93">
        <v>24.58</v>
      </c>
      <c r="G45" s="93">
        <f>E45+F45</f>
        <v>56.71</v>
      </c>
      <c r="H45" s="40">
        <f t="shared" ref="H45" si="11">G45*1.2293</f>
        <v>69.713603000000006</v>
      </c>
      <c r="I45" s="52">
        <f>((12.82+12.82+3.6+3.6)*3)+((0.5*(12.82+12.82+3.6+3.6)))</f>
        <v>114.94000000000001</v>
      </c>
      <c r="J45" s="31">
        <f t="shared" ref="J45" si="12">H45*I45</f>
        <v>8012.8815288200012</v>
      </c>
    </row>
    <row r="46" spans="1:10">
      <c r="A46" s="75"/>
      <c r="B46" s="76"/>
      <c r="C46" s="75"/>
      <c r="D46" s="77"/>
      <c r="E46" s="78"/>
      <c r="F46" s="78"/>
      <c r="G46" s="78"/>
      <c r="H46" s="78"/>
      <c r="I46" s="168" t="s">
        <v>18</v>
      </c>
      <c r="J46" s="169">
        <f>SUM(J44:J45)</f>
        <v>10057.084498820002</v>
      </c>
    </row>
    <row r="47" spans="1:10">
      <c r="A47" s="61" t="s">
        <v>90</v>
      </c>
      <c r="B47" s="61" t="s">
        <v>91</v>
      </c>
      <c r="C47" s="62"/>
      <c r="D47" s="63"/>
      <c r="E47" s="64"/>
      <c r="F47" s="64"/>
      <c r="G47" s="64"/>
      <c r="H47" s="64"/>
      <c r="I47" s="64"/>
      <c r="J47" s="64"/>
    </row>
    <row r="48" spans="1:10">
      <c r="A48" s="65" t="s">
        <v>92</v>
      </c>
      <c r="B48" s="65" t="s">
        <v>93</v>
      </c>
      <c r="C48" s="66"/>
      <c r="D48" s="67"/>
      <c r="E48" s="68"/>
      <c r="F48" s="68"/>
      <c r="G48" s="68"/>
      <c r="H48" s="60"/>
      <c r="I48" s="60"/>
      <c r="J48" s="74"/>
    </row>
    <row r="49" spans="1:10" ht="29.25" customHeight="1">
      <c r="A49" s="46" t="s">
        <v>94</v>
      </c>
      <c r="B49" s="49"/>
      <c r="C49" s="46" t="s">
        <v>95</v>
      </c>
      <c r="D49" s="48" t="s">
        <v>0</v>
      </c>
      <c r="E49" s="93">
        <v>67.81</v>
      </c>
      <c r="F49" s="93">
        <v>22.51</v>
      </c>
      <c r="G49" s="93">
        <f>E49+F49</f>
        <v>90.320000000000007</v>
      </c>
      <c r="H49" s="40">
        <f t="shared" ref="H49" si="13">G49*1.2293</f>
        <v>111.03037600000002</v>
      </c>
      <c r="I49" s="52">
        <f>12.82*3.9</f>
        <v>49.997999999999998</v>
      </c>
      <c r="J49" s="31">
        <f t="shared" ref="J49" si="14">H49*I49</f>
        <v>5551.2967392480004</v>
      </c>
    </row>
    <row r="50" spans="1:10">
      <c r="A50" s="53"/>
      <c r="B50" s="54"/>
      <c r="C50" s="54"/>
      <c r="D50" s="54"/>
      <c r="E50" s="54"/>
      <c r="F50" s="54"/>
      <c r="G50" s="54"/>
      <c r="H50" s="54"/>
      <c r="I50" s="168" t="s">
        <v>18</v>
      </c>
      <c r="J50" s="169">
        <f>SUM(J49)</f>
        <v>5551.2967392480004</v>
      </c>
    </row>
    <row r="51" spans="1:10">
      <c r="A51" s="61" t="s">
        <v>96</v>
      </c>
      <c r="B51" s="61" t="s">
        <v>97</v>
      </c>
      <c r="C51" s="62"/>
      <c r="D51" s="63"/>
      <c r="E51" s="64"/>
      <c r="F51" s="64"/>
      <c r="G51" s="64"/>
      <c r="H51" s="64"/>
      <c r="I51" s="64"/>
      <c r="J51" s="64"/>
    </row>
    <row r="52" spans="1:10">
      <c r="A52" s="50" t="s">
        <v>388</v>
      </c>
      <c r="B52" s="51" t="s">
        <v>387</v>
      </c>
      <c r="C52" s="50"/>
      <c r="D52" s="59"/>
      <c r="E52" s="60"/>
      <c r="F52" s="60"/>
      <c r="G52" s="60"/>
      <c r="H52" s="60"/>
      <c r="I52" s="60"/>
      <c r="J52" s="60"/>
    </row>
    <row r="53" spans="1:10" ht="27" customHeight="1">
      <c r="A53" s="46" t="s">
        <v>389</v>
      </c>
      <c r="B53" s="49"/>
      <c r="C53" s="46" t="s">
        <v>390</v>
      </c>
      <c r="D53" s="48" t="s">
        <v>0</v>
      </c>
      <c r="E53" s="93">
        <v>59.02</v>
      </c>
      <c r="F53" s="93">
        <v>38.64</v>
      </c>
      <c r="G53" s="93">
        <f>E53+F53</f>
        <v>97.66</v>
      </c>
      <c r="H53" s="40">
        <f t="shared" ref="H53" si="15">G53*1.2293</f>
        <v>120.053438</v>
      </c>
      <c r="I53" s="171">
        <v>59</v>
      </c>
      <c r="J53" s="31">
        <f t="shared" ref="J53" si="16">H53*I53</f>
        <v>7083.1528420000004</v>
      </c>
    </row>
    <row r="54" spans="1:10">
      <c r="A54" s="55"/>
      <c r="B54" s="56"/>
      <c r="C54" s="56"/>
      <c r="D54" s="56"/>
      <c r="E54" s="56"/>
      <c r="F54" s="56"/>
      <c r="G54" s="56"/>
      <c r="H54" s="56"/>
      <c r="I54" s="168" t="s">
        <v>18</v>
      </c>
      <c r="J54" s="169">
        <f>SUM(J53)</f>
        <v>7083.1528420000004</v>
      </c>
    </row>
    <row r="55" spans="1:10">
      <c r="A55" s="61" t="s">
        <v>98</v>
      </c>
      <c r="B55" s="61" t="s">
        <v>99</v>
      </c>
      <c r="C55" s="62"/>
      <c r="D55" s="63"/>
      <c r="E55" s="64"/>
      <c r="F55" s="64"/>
      <c r="G55" s="64"/>
      <c r="H55" s="64"/>
      <c r="I55" s="64"/>
      <c r="J55" s="64"/>
    </row>
    <row r="56" spans="1:10">
      <c r="A56" s="50" t="s">
        <v>392</v>
      </c>
      <c r="B56" s="51" t="s">
        <v>391</v>
      </c>
      <c r="C56" s="50"/>
      <c r="D56" s="59"/>
      <c r="E56" s="60"/>
      <c r="F56" s="60"/>
      <c r="G56" s="60"/>
      <c r="H56" s="60"/>
      <c r="I56" s="60"/>
      <c r="J56" s="60"/>
    </row>
    <row r="57" spans="1:10" ht="28.5" customHeight="1">
      <c r="A57" s="46" t="s">
        <v>393</v>
      </c>
      <c r="B57" s="49"/>
      <c r="C57" s="97" t="s">
        <v>394</v>
      </c>
      <c r="D57" s="48" t="s">
        <v>0</v>
      </c>
      <c r="E57" s="93">
        <v>22.08</v>
      </c>
      <c r="F57" s="93">
        <v>22.43</v>
      </c>
      <c r="G57" s="93">
        <f>E57+F57</f>
        <v>44.51</v>
      </c>
      <c r="H57" s="40">
        <f t="shared" ref="H57" si="17">G57*1.2293</f>
        <v>54.716143000000002</v>
      </c>
      <c r="I57" s="52">
        <v>59</v>
      </c>
      <c r="J57" s="31">
        <f t="shared" ref="J57" si="18">H57*I57</f>
        <v>3228.2524370000001</v>
      </c>
    </row>
    <row r="58" spans="1:10">
      <c r="A58" s="50" t="s">
        <v>100</v>
      </c>
      <c r="B58" s="51" t="s">
        <v>101</v>
      </c>
      <c r="C58" s="50"/>
      <c r="D58" s="59"/>
      <c r="E58" s="60"/>
      <c r="F58" s="60"/>
      <c r="G58" s="60"/>
      <c r="H58" s="60"/>
      <c r="I58" s="60"/>
      <c r="J58" s="60"/>
    </row>
    <row r="59" spans="1:10">
      <c r="A59" s="46" t="s">
        <v>102</v>
      </c>
      <c r="B59" s="49"/>
      <c r="C59" s="46" t="s">
        <v>103</v>
      </c>
      <c r="D59" s="48" t="s">
        <v>10</v>
      </c>
      <c r="E59" s="93">
        <v>26.81</v>
      </c>
      <c r="F59" s="93">
        <v>37.71</v>
      </c>
      <c r="G59" s="93">
        <f>E59+F59</f>
        <v>64.52</v>
      </c>
      <c r="H59" s="40">
        <f t="shared" ref="H59" si="19">G59*1.2293</f>
        <v>79.314436000000001</v>
      </c>
      <c r="I59" s="52">
        <f>12.65+12.65+3.5+3.5</f>
        <v>32.299999999999997</v>
      </c>
      <c r="J59" s="31">
        <f t="shared" ref="J59" si="20">H59*I59</f>
        <v>2561.8562827999999</v>
      </c>
    </row>
    <row r="60" spans="1:10">
      <c r="A60" s="79"/>
      <c r="B60" s="49"/>
      <c r="C60" s="46"/>
      <c r="D60" s="48"/>
      <c r="E60" s="47"/>
      <c r="F60" s="47"/>
      <c r="G60" s="47"/>
      <c r="H60" s="5"/>
      <c r="I60" s="168" t="s">
        <v>18</v>
      </c>
      <c r="J60" s="169">
        <f>SUM(J57:J59)</f>
        <v>5790.1087198000005</v>
      </c>
    </row>
    <row r="61" spans="1:10">
      <c r="A61" s="61" t="s">
        <v>104</v>
      </c>
      <c r="B61" s="61" t="s">
        <v>105</v>
      </c>
      <c r="C61" s="62"/>
      <c r="D61" s="63"/>
      <c r="E61" s="64"/>
      <c r="F61" s="64"/>
      <c r="G61" s="64"/>
      <c r="H61" s="64"/>
      <c r="I61" s="64"/>
      <c r="J61" s="64"/>
    </row>
    <row r="62" spans="1:10">
      <c r="A62" s="50" t="s">
        <v>106</v>
      </c>
      <c r="B62" s="51" t="s">
        <v>107</v>
      </c>
      <c r="C62" s="50"/>
      <c r="D62" s="59"/>
      <c r="E62" s="60"/>
      <c r="F62" s="60"/>
      <c r="G62" s="60"/>
      <c r="H62" s="60"/>
      <c r="I62" s="60"/>
      <c r="J62" s="60"/>
    </row>
    <row r="63" spans="1:10">
      <c r="A63" s="46" t="s">
        <v>108</v>
      </c>
      <c r="B63" s="49"/>
      <c r="C63" s="46" t="s">
        <v>109</v>
      </c>
      <c r="D63" s="48" t="s">
        <v>0</v>
      </c>
      <c r="E63" s="93">
        <v>1.04</v>
      </c>
      <c r="F63" s="93">
        <v>3.27</v>
      </c>
      <c r="G63" s="93">
        <f>E63+F63</f>
        <v>4.3100000000000005</v>
      </c>
      <c r="H63" s="40">
        <f t="shared" ref="H63:H64" si="21">G63*1.2293</f>
        <v>5.2982830000000005</v>
      </c>
      <c r="I63" s="52">
        <f>(I45+I49)-2*((5*2.1*0.8)+(3*1.5*1))</f>
        <v>139.13800000000001</v>
      </c>
      <c r="J63" s="31">
        <f t="shared" ref="J63:J64" si="22">H63*I63</f>
        <v>737.19250005400011</v>
      </c>
    </row>
    <row r="64" spans="1:10">
      <c r="A64" s="46" t="s">
        <v>110</v>
      </c>
      <c r="B64" s="49"/>
      <c r="C64" s="46" t="s">
        <v>111</v>
      </c>
      <c r="D64" s="48" t="s">
        <v>0</v>
      </c>
      <c r="E64" s="93">
        <v>1.35</v>
      </c>
      <c r="F64" s="93">
        <v>7.73</v>
      </c>
      <c r="G64" s="93">
        <f>E64+F64</f>
        <v>9.08</v>
      </c>
      <c r="H64" s="40">
        <f t="shared" si="21"/>
        <v>11.162044</v>
      </c>
      <c r="I64" s="52">
        <f>I63</f>
        <v>139.13800000000001</v>
      </c>
      <c r="J64" s="31">
        <f t="shared" si="22"/>
        <v>1553.0644780719999</v>
      </c>
    </row>
    <row r="65" spans="1:10">
      <c r="A65" s="55"/>
      <c r="B65" s="56"/>
      <c r="C65" s="56"/>
      <c r="D65" s="56"/>
      <c r="E65" s="56"/>
      <c r="F65" s="56"/>
      <c r="G65" s="56"/>
      <c r="H65" s="56"/>
      <c r="I65" s="168" t="s">
        <v>18</v>
      </c>
      <c r="J65" s="169">
        <f>SUM(J63:J64)</f>
        <v>2290.2569781259999</v>
      </c>
    </row>
    <row r="66" spans="1:10">
      <c r="A66" s="61" t="s">
        <v>112</v>
      </c>
      <c r="B66" s="61" t="s">
        <v>113</v>
      </c>
      <c r="C66" s="62"/>
      <c r="D66" s="63"/>
      <c r="E66" s="64"/>
      <c r="F66" s="64"/>
      <c r="G66" s="64"/>
      <c r="H66" s="64"/>
      <c r="I66" s="64"/>
      <c r="J66" s="64"/>
    </row>
    <row r="67" spans="1:10">
      <c r="A67" s="50" t="s">
        <v>116</v>
      </c>
      <c r="B67" s="51" t="s">
        <v>117</v>
      </c>
      <c r="C67" s="50"/>
      <c r="D67" s="59"/>
      <c r="E67" s="60"/>
      <c r="F67" s="60"/>
      <c r="G67" s="60"/>
      <c r="H67" s="60"/>
      <c r="I67" s="60"/>
      <c r="J67" s="60"/>
    </row>
    <row r="68" spans="1:10" ht="38.25">
      <c r="A68" s="46" t="s">
        <v>114</v>
      </c>
      <c r="B68" s="49"/>
      <c r="C68" s="46" t="s">
        <v>115</v>
      </c>
      <c r="D68" s="48" t="s">
        <v>0</v>
      </c>
      <c r="E68" s="93">
        <v>24.7</v>
      </c>
      <c r="F68" s="93">
        <v>10.54</v>
      </c>
      <c r="G68" s="93">
        <f>E68+F68</f>
        <v>35.239999999999995</v>
      </c>
      <c r="H68" s="40">
        <f t="shared" ref="H68" si="23">G68*1.2293</f>
        <v>43.320531999999993</v>
      </c>
      <c r="I68" s="52">
        <f>(3.6*12.52)+(2.8*3)+((2.55+2.55+1.35+1.35)*3)</f>
        <v>76.872</v>
      </c>
      <c r="J68" s="31">
        <f t="shared" ref="J68" si="24">H68*I68</f>
        <v>3330.1359359039993</v>
      </c>
    </row>
    <row r="69" spans="1:10" ht="41.25" customHeight="1">
      <c r="A69" s="46" t="s">
        <v>118</v>
      </c>
      <c r="B69" s="49"/>
      <c r="C69" s="46" t="s">
        <v>119</v>
      </c>
      <c r="D69" s="48" t="s">
        <v>10</v>
      </c>
      <c r="E69" s="93">
        <v>4.08</v>
      </c>
      <c r="F69" s="93">
        <v>0.84</v>
      </c>
      <c r="G69" s="93">
        <f t="shared" ref="G69:G71" si="25">E69+F69</f>
        <v>4.92</v>
      </c>
      <c r="H69" s="40">
        <f t="shared" ref="H69:H71" si="26">G69*1.2293</f>
        <v>6.0481560000000005</v>
      </c>
      <c r="I69" s="52">
        <f>3.6+3.6+12.52+12.52+2.55+2.55+2.55+2.6+1.35-4*(0.8)</f>
        <v>40.639999999999986</v>
      </c>
      <c r="J69" s="31">
        <f t="shared" ref="J69:J71" si="27">H69*I69</f>
        <v>245.79705983999995</v>
      </c>
    </row>
    <row r="70" spans="1:10" ht="30" customHeight="1">
      <c r="A70" s="46" t="s">
        <v>120</v>
      </c>
      <c r="B70" s="49"/>
      <c r="C70" s="46" t="s">
        <v>121</v>
      </c>
      <c r="D70" s="48" t="s">
        <v>0</v>
      </c>
      <c r="E70" s="93">
        <v>1.67</v>
      </c>
      <c r="F70" s="93">
        <v>7.04</v>
      </c>
      <c r="G70" s="93">
        <f t="shared" si="25"/>
        <v>8.7100000000000009</v>
      </c>
      <c r="H70" s="40">
        <f t="shared" si="26"/>
        <v>10.707203000000002</v>
      </c>
      <c r="I70" s="52">
        <f>I68</f>
        <v>76.872</v>
      </c>
      <c r="J70" s="31">
        <f t="shared" si="27"/>
        <v>823.08410901600007</v>
      </c>
    </row>
    <row r="71" spans="1:10" ht="38.25">
      <c r="A71" s="46" t="s">
        <v>122</v>
      </c>
      <c r="B71" s="49"/>
      <c r="C71" s="46" t="s">
        <v>123</v>
      </c>
      <c r="D71" s="48" t="s">
        <v>10</v>
      </c>
      <c r="E71" s="93">
        <v>0.17</v>
      </c>
      <c r="F71" s="93">
        <v>0.79</v>
      </c>
      <c r="G71" s="93">
        <f t="shared" si="25"/>
        <v>0.96000000000000008</v>
      </c>
      <c r="H71" s="40">
        <f t="shared" si="26"/>
        <v>1.1801280000000001</v>
      </c>
      <c r="I71" s="52">
        <f>I69</f>
        <v>40.639999999999986</v>
      </c>
      <c r="J71" s="31">
        <f t="shared" si="27"/>
        <v>47.960401919999988</v>
      </c>
    </row>
    <row r="72" spans="1:10">
      <c r="A72" s="79"/>
      <c r="B72" s="49"/>
      <c r="C72" s="46"/>
      <c r="D72" s="48"/>
      <c r="E72" s="47"/>
      <c r="F72" s="47"/>
      <c r="G72" s="47"/>
      <c r="H72" s="56"/>
      <c r="I72" s="168" t="s">
        <v>18</v>
      </c>
      <c r="J72" s="169">
        <f>SUM(J68:J71)</f>
        <v>4446.9775066799984</v>
      </c>
    </row>
    <row r="73" spans="1:10">
      <c r="A73" s="61" t="s">
        <v>124</v>
      </c>
      <c r="B73" s="61" t="s">
        <v>125</v>
      </c>
      <c r="C73" s="62"/>
      <c r="D73" s="63"/>
      <c r="E73" s="64"/>
      <c r="F73" s="64"/>
      <c r="G73" s="64"/>
      <c r="H73" s="64"/>
      <c r="I73" s="64"/>
      <c r="J73" s="64"/>
    </row>
    <row r="74" spans="1:10">
      <c r="A74" s="65" t="s">
        <v>126</v>
      </c>
      <c r="B74" s="65" t="s">
        <v>127</v>
      </c>
      <c r="C74" s="66"/>
      <c r="D74" s="67"/>
      <c r="E74" s="68"/>
      <c r="F74" s="68"/>
      <c r="G74" s="68"/>
      <c r="H74" s="68"/>
      <c r="I74" s="68"/>
      <c r="J74" s="68"/>
    </row>
    <row r="75" spans="1:10" ht="25.5">
      <c r="A75" s="46" t="s">
        <v>342</v>
      </c>
      <c r="B75" s="49"/>
      <c r="C75" s="46" t="s">
        <v>343</v>
      </c>
      <c r="D75" s="48" t="s">
        <v>10</v>
      </c>
      <c r="E75" s="93">
        <v>51.82</v>
      </c>
      <c r="F75" s="93">
        <v>14.82</v>
      </c>
      <c r="G75" s="93">
        <f t="shared" ref="G75" si="28">E75+F75</f>
        <v>66.64</v>
      </c>
      <c r="H75" s="40">
        <f t="shared" ref="H75" si="29">G75*1.2293</f>
        <v>81.920552000000001</v>
      </c>
      <c r="I75" s="52">
        <f>3*0.8</f>
        <v>2.4000000000000004</v>
      </c>
      <c r="J75" s="31">
        <f t="shared" ref="J75" si="30">H75*I75</f>
        <v>196.60932480000002</v>
      </c>
    </row>
    <row r="76" spans="1:10">
      <c r="A76" s="79"/>
      <c r="B76" s="49"/>
      <c r="C76" s="46"/>
      <c r="D76" s="48"/>
      <c r="E76" s="47"/>
      <c r="F76" s="47"/>
      <c r="G76" s="47"/>
      <c r="H76" s="56"/>
      <c r="I76" s="168" t="s">
        <v>18</v>
      </c>
      <c r="J76" s="169">
        <f>SUM(J75)</f>
        <v>196.60932480000002</v>
      </c>
    </row>
    <row r="77" spans="1:10">
      <c r="A77" s="61" t="s">
        <v>128</v>
      </c>
      <c r="B77" s="61" t="s">
        <v>129</v>
      </c>
      <c r="C77" s="62"/>
      <c r="D77" s="63"/>
      <c r="E77" s="64"/>
      <c r="F77" s="64"/>
      <c r="G77" s="64"/>
      <c r="H77" s="64"/>
      <c r="I77" s="64"/>
      <c r="J77" s="64"/>
    </row>
    <row r="78" spans="1:10">
      <c r="A78" s="50" t="s">
        <v>130</v>
      </c>
      <c r="B78" s="51" t="s">
        <v>131</v>
      </c>
      <c r="C78" s="50"/>
      <c r="D78" s="59"/>
      <c r="E78" s="60"/>
      <c r="F78" s="60"/>
      <c r="G78" s="60"/>
      <c r="H78" s="60"/>
      <c r="I78" s="60"/>
      <c r="J78" s="60"/>
    </row>
    <row r="79" spans="1:10">
      <c r="A79" s="46" t="s">
        <v>132</v>
      </c>
      <c r="B79" s="49"/>
      <c r="C79" s="46" t="s">
        <v>133</v>
      </c>
      <c r="D79" s="48" t="s">
        <v>7</v>
      </c>
      <c r="E79" s="93">
        <v>286.18</v>
      </c>
      <c r="F79" s="93">
        <v>86.57</v>
      </c>
      <c r="G79" s="93">
        <f t="shared" ref="G79" si="31">E79+F79</f>
        <v>372.75</v>
      </c>
      <c r="H79" s="40">
        <f t="shared" ref="H79" si="32">G79*1.2293</f>
        <v>458.22157500000003</v>
      </c>
      <c r="I79" s="52">
        <v>3</v>
      </c>
      <c r="J79" s="31">
        <f t="shared" ref="J79" si="33">H79*I79</f>
        <v>1374.6647250000001</v>
      </c>
    </row>
    <row r="80" spans="1:10">
      <c r="A80" s="55"/>
      <c r="B80" s="56"/>
      <c r="C80" s="56"/>
      <c r="D80" s="56"/>
      <c r="E80" s="56"/>
      <c r="F80" s="56"/>
      <c r="G80" s="56"/>
      <c r="H80" s="56"/>
      <c r="I80" s="168" t="s">
        <v>18</v>
      </c>
      <c r="J80" s="169">
        <f>SUM(J79)</f>
        <v>1374.6647250000001</v>
      </c>
    </row>
    <row r="81" spans="1:10">
      <c r="A81" s="61" t="s">
        <v>134</v>
      </c>
      <c r="B81" s="61" t="s">
        <v>135</v>
      </c>
      <c r="C81" s="62"/>
      <c r="D81" s="63"/>
      <c r="E81" s="64"/>
      <c r="F81" s="64"/>
      <c r="G81" s="64"/>
      <c r="H81" s="64"/>
      <c r="I81" s="64"/>
      <c r="J81" s="64"/>
    </row>
    <row r="82" spans="1:10">
      <c r="A82" s="65" t="s">
        <v>136</v>
      </c>
      <c r="B82" s="65" t="e">
        <f>PPU!#REF!</f>
        <v>#REF!</v>
      </c>
      <c r="C82" s="66"/>
      <c r="D82" s="67"/>
      <c r="E82" s="68"/>
      <c r="F82" s="68"/>
      <c r="G82" s="68"/>
      <c r="H82" s="68"/>
      <c r="I82" s="68"/>
      <c r="J82" s="68"/>
    </row>
    <row r="83" spans="1:10">
      <c r="A83" s="46" t="s">
        <v>344</v>
      </c>
      <c r="B83" s="49"/>
      <c r="C83" s="46" t="s">
        <v>345</v>
      </c>
      <c r="D83" s="48" t="s">
        <v>0</v>
      </c>
      <c r="E83" s="93">
        <v>227.58</v>
      </c>
      <c r="F83" s="93">
        <v>19.62</v>
      </c>
      <c r="G83" s="93">
        <f>E83+F83</f>
        <v>247.20000000000002</v>
      </c>
      <c r="H83" s="40">
        <f t="shared" ref="H83" si="34">G83*1.2293</f>
        <v>303.88296000000003</v>
      </c>
      <c r="I83" s="52">
        <f>((3*1.5*1)+(0.8*0.6))</f>
        <v>4.9800000000000004</v>
      </c>
      <c r="J83" s="31">
        <f t="shared" ref="J83" si="35">H83*I83</f>
        <v>1513.3371408000003</v>
      </c>
    </row>
    <row r="84" spans="1:10">
      <c r="A84" s="50" t="s">
        <v>137</v>
      </c>
      <c r="B84" s="51" t="s">
        <v>138</v>
      </c>
      <c r="C84" s="50"/>
      <c r="D84" s="59"/>
      <c r="E84" s="60"/>
      <c r="F84" s="60"/>
      <c r="G84" s="60"/>
      <c r="H84" s="60"/>
      <c r="I84" s="60"/>
      <c r="J84" s="60"/>
    </row>
    <row r="85" spans="1:10" ht="25.5">
      <c r="A85" s="46" t="s">
        <v>329</v>
      </c>
      <c r="B85" s="49"/>
      <c r="C85" s="46" t="s">
        <v>330</v>
      </c>
      <c r="D85" s="48" t="s">
        <v>0</v>
      </c>
      <c r="E85" s="93">
        <v>344.29</v>
      </c>
      <c r="F85" s="93">
        <v>58.79</v>
      </c>
      <c r="G85" s="93">
        <f>E85+F85</f>
        <v>403.08000000000004</v>
      </c>
      <c r="H85" s="40">
        <f t="shared" ref="H85" si="36">G85*1.2293</f>
        <v>495.50624400000009</v>
      </c>
      <c r="I85" s="52">
        <f>2*2.1*0.8</f>
        <v>3.3600000000000003</v>
      </c>
      <c r="J85" s="31">
        <f t="shared" ref="J85" si="37">H85*I85</f>
        <v>1664.9009798400004</v>
      </c>
    </row>
    <row r="86" spans="1:10">
      <c r="A86" s="79"/>
      <c r="B86" s="49"/>
      <c r="C86" s="46"/>
      <c r="D86" s="48"/>
      <c r="E86" s="47"/>
      <c r="F86" s="47"/>
      <c r="G86" s="47"/>
      <c r="H86" s="5"/>
      <c r="I86" s="168" t="s">
        <v>18</v>
      </c>
      <c r="J86" s="169">
        <f>SUM(J83:J85)</f>
        <v>3178.2381206400005</v>
      </c>
    </row>
    <row r="87" spans="1:10">
      <c r="A87" s="61" t="s">
        <v>139</v>
      </c>
      <c r="B87" s="61" t="s">
        <v>140</v>
      </c>
      <c r="C87" s="62"/>
      <c r="D87" s="63"/>
      <c r="E87" s="64"/>
      <c r="F87" s="64"/>
      <c r="G87" s="64"/>
      <c r="H87" s="64"/>
      <c r="I87" s="64"/>
      <c r="J87" s="64"/>
    </row>
    <row r="88" spans="1:10">
      <c r="A88" s="65" t="s">
        <v>141</v>
      </c>
      <c r="B88" s="65" t="s">
        <v>142</v>
      </c>
      <c r="C88" s="66"/>
      <c r="D88" s="67"/>
      <c r="E88" s="68"/>
      <c r="F88" s="68"/>
      <c r="G88" s="68"/>
      <c r="H88" s="68"/>
      <c r="I88" s="68"/>
      <c r="J88" s="68"/>
    </row>
    <row r="89" spans="1:10">
      <c r="A89" s="46" t="s">
        <v>143</v>
      </c>
      <c r="B89" s="49"/>
      <c r="C89" s="46" t="s">
        <v>144</v>
      </c>
      <c r="D89" s="48" t="s">
        <v>0</v>
      </c>
      <c r="E89" s="93">
        <v>66.69</v>
      </c>
      <c r="F89" s="93">
        <v>20.329999999999998</v>
      </c>
      <c r="G89" s="93">
        <f>E89+F89</f>
        <v>87.02</v>
      </c>
      <c r="H89" s="40">
        <f t="shared" ref="H89" si="38">G89*1.2293</f>
        <v>106.973686</v>
      </c>
      <c r="I89" s="52">
        <v>1</v>
      </c>
      <c r="J89" s="31">
        <f t="shared" ref="J89" si="39">H89*I89</f>
        <v>106.973686</v>
      </c>
    </row>
    <row r="90" spans="1:10">
      <c r="A90" s="50" t="s">
        <v>145</v>
      </c>
      <c r="B90" s="51" t="s">
        <v>146</v>
      </c>
      <c r="C90" s="50"/>
      <c r="D90" s="59"/>
      <c r="E90" s="60"/>
      <c r="F90" s="60"/>
      <c r="G90" s="60"/>
      <c r="H90" s="60"/>
      <c r="I90" s="60"/>
      <c r="J90" s="60"/>
    </row>
    <row r="91" spans="1:10">
      <c r="A91" s="46" t="s">
        <v>147</v>
      </c>
      <c r="B91" s="49"/>
      <c r="C91" s="46" t="s">
        <v>148</v>
      </c>
      <c r="D91" s="48" t="s">
        <v>0</v>
      </c>
      <c r="E91" s="93">
        <v>368.4</v>
      </c>
      <c r="F91" s="93">
        <v>0</v>
      </c>
      <c r="G91" s="93">
        <f>E91+F91</f>
        <v>368.4</v>
      </c>
      <c r="H91" s="40">
        <f t="shared" ref="H91" si="40">G91*1.2293</f>
        <v>452.87412</v>
      </c>
      <c r="I91" s="52">
        <f>(0.6*0.4)</f>
        <v>0.24</v>
      </c>
      <c r="J91" s="31">
        <f t="shared" ref="J91" si="41">H91*I91</f>
        <v>108.6897888</v>
      </c>
    </row>
    <row r="92" spans="1:10">
      <c r="A92" s="79"/>
      <c r="B92" s="49"/>
      <c r="C92" s="46"/>
      <c r="D92" s="48"/>
      <c r="E92" s="47"/>
      <c r="F92" s="47"/>
      <c r="G92" s="47"/>
      <c r="H92" s="5"/>
      <c r="I92" s="168" t="s">
        <v>18</v>
      </c>
      <c r="J92" s="169">
        <f>SUM(J89:J91)</f>
        <v>215.66347480000002</v>
      </c>
    </row>
    <row r="93" spans="1:10">
      <c r="A93" s="61" t="s">
        <v>149</v>
      </c>
      <c r="B93" s="61" t="s">
        <v>150</v>
      </c>
      <c r="C93" s="62"/>
      <c r="D93" s="63"/>
      <c r="E93" s="64"/>
      <c r="F93" s="64"/>
      <c r="G93" s="64"/>
      <c r="H93" s="64"/>
      <c r="I93" s="64"/>
      <c r="J93" s="64"/>
    </row>
    <row r="94" spans="1:10">
      <c r="A94" s="65" t="s">
        <v>151</v>
      </c>
      <c r="B94" s="65" t="s">
        <v>152</v>
      </c>
      <c r="C94" s="66"/>
      <c r="D94" s="67"/>
      <c r="E94" s="68"/>
      <c r="F94" s="68"/>
      <c r="G94" s="68"/>
      <c r="H94" s="68"/>
      <c r="I94" s="68"/>
      <c r="J94" s="68"/>
    </row>
    <row r="95" spans="1:10" ht="25.5">
      <c r="A95" s="46" t="s">
        <v>153</v>
      </c>
      <c r="B95" s="49"/>
      <c r="C95" s="46" t="s">
        <v>154</v>
      </c>
      <c r="D95" s="48" t="s">
        <v>155</v>
      </c>
      <c r="E95" s="93">
        <v>151.99</v>
      </c>
      <c r="F95" s="93">
        <v>46.38</v>
      </c>
      <c r="G95" s="93">
        <f>E95+F95</f>
        <v>198.37</v>
      </c>
      <c r="H95" s="40">
        <f t="shared" ref="H95" si="42">G95*1.2293</f>
        <v>243.85624100000001</v>
      </c>
      <c r="I95" s="52">
        <v>3</v>
      </c>
      <c r="J95" s="31">
        <f t="shared" ref="J95" si="43">H95*I95</f>
        <v>731.56872300000009</v>
      </c>
    </row>
    <row r="96" spans="1:10">
      <c r="A96" s="55"/>
      <c r="B96" s="56"/>
      <c r="C96" s="56"/>
      <c r="D96" s="56"/>
      <c r="E96" s="56"/>
      <c r="F96" s="56"/>
      <c r="G96" s="56"/>
      <c r="H96" s="5"/>
      <c r="I96" s="168" t="s">
        <v>18</v>
      </c>
      <c r="J96" s="169">
        <f>SUM(J95)</f>
        <v>731.56872300000009</v>
      </c>
    </row>
    <row r="97" spans="1:10">
      <c r="A97" s="61" t="s">
        <v>156</v>
      </c>
      <c r="B97" s="61" t="s">
        <v>157</v>
      </c>
      <c r="C97" s="62"/>
      <c r="D97" s="63"/>
      <c r="E97" s="64"/>
      <c r="F97" s="64"/>
      <c r="G97" s="64"/>
      <c r="H97" s="64"/>
      <c r="I97" s="64"/>
      <c r="J97" s="64"/>
    </row>
    <row r="98" spans="1:10">
      <c r="A98" s="50" t="s">
        <v>158</v>
      </c>
      <c r="B98" s="51" t="s">
        <v>159</v>
      </c>
      <c r="C98" s="50"/>
      <c r="D98" s="59"/>
      <c r="E98" s="60"/>
      <c r="F98" s="60"/>
      <c r="G98" s="60"/>
      <c r="H98" s="60"/>
      <c r="I98" s="60"/>
      <c r="J98" s="60"/>
    </row>
    <row r="99" spans="1:10" ht="25.5">
      <c r="A99" s="46" t="s">
        <v>160</v>
      </c>
      <c r="B99" s="49"/>
      <c r="C99" s="46" t="s">
        <v>161</v>
      </c>
      <c r="D99" s="48" t="s">
        <v>0</v>
      </c>
      <c r="E99" s="93">
        <v>6.33</v>
      </c>
      <c r="F99" s="93">
        <v>5.58</v>
      </c>
      <c r="G99" s="93">
        <f>E99+F99</f>
        <v>11.91</v>
      </c>
      <c r="H99" s="40">
        <f t="shared" ref="H99" si="44">G99*1.2293</f>
        <v>14.640963000000001</v>
      </c>
      <c r="I99" s="52">
        <f>(2*0.3*(12.82+12.82+3.6+3.6))</f>
        <v>19.704000000000001</v>
      </c>
      <c r="J99" s="31">
        <f t="shared" ref="J99" si="45">H99*I99</f>
        <v>288.48553495200002</v>
      </c>
    </row>
    <row r="100" spans="1:10">
      <c r="A100" s="69"/>
      <c r="B100" s="70"/>
      <c r="C100" s="70"/>
      <c r="D100" s="70"/>
      <c r="E100" s="70"/>
      <c r="F100" s="70"/>
      <c r="G100" s="70"/>
      <c r="H100" s="5"/>
      <c r="I100" s="168" t="s">
        <v>18</v>
      </c>
      <c r="J100" s="169">
        <f>SUM(J99)</f>
        <v>288.48553495200002</v>
      </c>
    </row>
    <row r="101" spans="1:10">
      <c r="A101" s="61" t="s">
        <v>162</v>
      </c>
      <c r="B101" s="61" t="s">
        <v>163</v>
      </c>
      <c r="C101" s="62"/>
      <c r="D101" s="63"/>
      <c r="E101" s="64"/>
      <c r="F101" s="64"/>
      <c r="G101" s="64"/>
      <c r="H101" s="64"/>
      <c r="I101" s="64"/>
      <c r="J101" s="64"/>
    </row>
    <row r="102" spans="1:10">
      <c r="A102" s="50" t="s">
        <v>164</v>
      </c>
      <c r="B102" s="51" t="s">
        <v>165</v>
      </c>
      <c r="C102" s="50"/>
      <c r="D102" s="59"/>
      <c r="E102" s="60"/>
      <c r="F102" s="60"/>
      <c r="G102" s="60"/>
      <c r="H102" s="60"/>
      <c r="I102" s="60"/>
      <c r="J102" s="60"/>
    </row>
    <row r="103" spans="1:10">
      <c r="A103" s="46" t="s">
        <v>337</v>
      </c>
      <c r="B103" s="49"/>
      <c r="C103" s="46" t="s">
        <v>336</v>
      </c>
      <c r="D103" s="48" t="s">
        <v>0</v>
      </c>
      <c r="E103" s="93">
        <v>2.17</v>
      </c>
      <c r="F103" s="93">
        <v>7.69</v>
      </c>
      <c r="G103" s="93">
        <f>E103+F103</f>
        <v>9.86</v>
      </c>
      <c r="H103" s="40">
        <f t="shared" ref="H103:H111" si="46">G103*1.2293</f>
        <v>12.120898</v>
      </c>
      <c r="I103" s="52">
        <f>((12.52+12.52+3.6+3.6+2.8+2.55+2.55+2.6+2.6+1.35)-(2*(2.1*0.8)))*3</f>
        <v>129.99</v>
      </c>
      <c r="J103" s="31">
        <f t="shared" ref="J103" si="47">H103*I103</f>
        <v>1575.5955310200002</v>
      </c>
    </row>
    <row r="104" spans="1:10">
      <c r="A104" s="46" t="s">
        <v>166</v>
      </c>
      <c r="B104" s="49"/>
      <c r="C104" s="46" t="s">
        <v>167</v>
      </c>
      <c r="D104" s="48" t="s">
        <v>0</v>
      </c>
      <c r="E104" s="93">
        <v>3.52</v>
      </c>
      <c r="F104" s="93">
        <v>7.69</v>
      </c>
      <c r="G104" s="93">
        <f>E104+F104</f>
        <v>11.21</v>
      </c>
      <c r="H104" s="40">
        <f t="shared" si="46"/>
        <v>13.780453000000001</v>
      </c>
      <c r="I104" s="52">
        <f>((12.82+12.82+3.9+3.9)*3.5)</f>
        <v>117.03999999999999</v>
      </c>
      <c r="J104" s="31">
        <f t="shared" ref="J104" si="48">H104*I104</f>
        <v>1612.8642191200001</v>
      </c>
    </row>
    <row r="105" spans="1:10">
      <c r="A105" s="50" t="s">
        <v>168</v>
      </c>
      <c r="B105" s="51" t="s">
        <v>169</v>
      </c>
      <c r="C105" s="50"/>
      <c r="D105" s="59"/>
      <c r="E105" s="60"/>
      <c r="F105" s="60"/>
      <c r="G105" s="60"/>
      <c r="H105" s="60"/>
      <c r="I105" s="60"/>
      <c r="J105" s="60"/>
    </row>
    <row r="106" spans="1:10">
      <c r="A106" s="46" t="s">
        <v>170</v>
      </c>
      <c r="B106" s="49"/>
      <c r="C106" s="46" t="s">
        <v>171</v>
      </c>
      <c r="D106" s="48" t="s">
        <v>0</v>
      </c>
      <c r="E106" s="93">
        <v>5.03</v>
      </c>
      <c r="F106" s="93">
        <v>13.45</v>
      </c>
      <c r="G106" s="93">
        <f t="shared" ref="G106:G111" si="49">E106+F106</f>
        <v>18.48</v>
      </c>
      <c r="H106" s="40">
        <f t="shared" si="46"/>
        <v>22.717464000000003</v>
      </c>
      <c r="I106" s="52">
        <f>I103</f>
        <v>129.99</v>
      </c>
      <c r="J106" s="31">
        <f t="shared" ref="J106" si="50">H106*I106</f>
        <v>2953.0431453600008</v>
      </c>
    </row>
    <row r="107" spans="1:10">
      <c r="A107" s="46" t="s">
        <v>338</v>
      </c>
      <c r="B107" s="49"/>
      <c r="C107" s="46" t="s">
        <v>339</v>
      </c>
      <c r="D107" s="48" t="s">
        <v>0</v>
      </c>
      <c r="E107" s="93">
        <v>7.37</v>
      </c>
      <c r="F107" s="93">
        <v>13.45</v>
      </c>
      <c r="G107" s="93">
        <f t="shared" si="49"/>
        <v>20.82</v>
      </c>
      <c r="H107" s="40">
        <f t="shared" si="46"/>
        <v>25.594026000000003</v>
      </c>
      <c r="I107" s="52">
        <f>I104</f>
        <v>117.03999999999999</v>
      </c>
      <c r="J107" s="31">
        <f t="shared" ref="J107" si="51">H107*I107</f>
        <v>2995.5248030400003</v>
      </c>
    </row>
    <row r="108" spans="1:10">
      <c r="A108" s="50" t="s">
        <v>172</v>
      </c>
      <c r="B108" s="51" t="s">
        <v>173</v>
      </c>
      <c r="C108" s="50"/>
      <c r="D108" s="59"/>
      <c r="E108" s="60"/>
      <c r="F108" s="60"/>
      <c r="G108" s="60"/>
      <c r="H108" s="60"/>
      <c r="I108" s="60"/>
      <c r="J108" s="60"/>
    </row>
    <row r="109" spans="1:10">
      <c r="A109" s="46" t="s">
        <v>174</v>
      </c>
      <c r="B109" s="49"/>
      <c r="C109" s="46" t="s">
        <v>175</v>
      </c>
      <c r="D109" s="48" t="s">
        <v>0</v>
      </c>
      <c r="E109" s="93">
        <v>11.87</v>
      </c>
      <c r="F109" s="93">
        <v>18.84</v>
      </c>
      <c r="G109" s="93">
        <f t="shared" si="49"/>
        <v>30.71</v>
      </c>
      <c r="H109" s="40">
        <f t="shared" si="46"/>
        <v>37.751803000000002</v>
      </c>
      <c r="I109" s="52">
        <f>((3*2.1*2*0.8)+(2*2.1*2*0.8)+(0.8*0.6*1*2))</f>
        <v>17.760000000000005</v>
      </c>
      <c r="J109" s="31">
        <f t="shared" ref="J109" si="52">H109*I109</f>
        <v>670.47202128000026</v>
      </c>
    </row>
    <row r="110" spans="1:10">
      <c r="A110" s="50" t="s">
        <v>176</v>
      </c>
      <c r="B110" s="51" t="s">
        <v>177</v>
      </c>
      <c r="C110" s="50"/>
      <c r="D110" s="59"/>
      <c r="E110" s="60"/>
      <c r="F110" s="60"/>
      <c r="G110" s="60"/>
      <c r="H110" s="60"/>
      <c r="I110" s="60"/>
      <c r="J110" s="60"/>
    </row>
    <row r="111" spans="1:10" ht="16.5" customHeight="1">
      <c r="A111" s="46" t="s">
        <v>178</v>
      </c>
      <c r="B111" s="49"/>
      <c r="C111" s="46" t="s">
        <v>179</v>
      </c>
      <c r="D111" s="48" t="s">
        <v>0</v>
      </c>
      <c r="E111" s="93">
        <v>12.18</v>
      </c>
      <c r="F111" s="93">
        <v>18.84</v>
      </c>
      <c r="G111" s="93">
        <f t="shared" si="49"/>
        <v>31.02</v>
      </c>
      <c r="H111" s="40">
        <f t="shared" si="46"/>
        <v>38.132885999999999</v>
      </c>
      <c r="I111" s="52">
        <f>3*2.1*0.8*2</f>
        <v>10.080000000000002</v>
      </c>
      <c r="J111" s="31">
        <f t="shared" ref="J111" si="53">H111*I111</f>
        <v>384.37949088000005</v>
      </c>
    </row>
    <row r="112" spans="1:10">
      <c r="A112" s="5"/>
      <c r="B112" s="5"/>
      <c r="C112" s="5"/>
      <c r="D112" s="5"/>
      <c r="E112" s="5"/>
      <c r="F112" s="5"/>
      <c r="G112" s="5"/>
      <c r="H112" s="5"/>
      <c r="I112" s="168" t="s">
        <v>18</v>
      </c>
      <c r="J112" s="169">
        <f>SUM(J103:J111)</f>
        <v>10191.879210700001</v>
      </c>
    </row>
    <row r="113" spans="1:10">
      <c r="A113" s="61" t="s">
        <v>180</v>
      </c>
      <c r="B113" s="61" t="s">
        <v>181</v>
      </c>
      <c r="C113" s="62"/>
      <c r="D113" s="63"/>
      <c r="E113" s="64"/>
      <c r="F113" s="64"/>
      <c r="G113" s="64"/>
      <c r="H113" s="64"/>
      <c r="I113" s="64"/>
      <c r="J113" s="64"/>
    </row>
    <row r="114" spans="1:10">
      <c r="A114" s="50" t="s">
        <v>406</v>
      </c>
      <c r="B114" s="51"/>
      <c r="C114" s="50" t="s">
        <v>408</v>
      </c>
      <c r="D114" s="59"/>
      <c r="E114" s="60"/>
      <c r="F114" s="60"/>
      <c r="G114" s="60"/>
      <c r="H114" s="60"/>
      <c r="I114" s="60"/>
      <c r="J114" s="60"/>
    </row>
    <row r="115" spans="1:10">
      <c r="A115" s="46" t="s">
        <v>407</v>
      </c>
      <c r="B115" s="49"/>
      <c r="C115" s="46" t="s">
        <v>405</v>
      </c>
      <c r="D115" s="48" t="s">
        <v>7</v>
      </c>
      <c r="E115" s="93">
        <v>19.670000000000002</v>
      </c>
      <c r="F115" s="93">
        <v>22.43</v>
      </c>
      <c r="G115" s="93">
        <f>E115+F115</f>
        <v>42.1</v>
      </c>
      <c r="H115" s="40">
        <f t="shared" ref="H115" si="54">G115*1.2293</f>
        <v>51.753530000000005</v>
      </c>
      <c r="I115" s="52">
        <v>50</v>
      </c>
      <c r="J115" s="31">
        <f t="shared" ref="J115" si="55">H115*I115</f>
        <v>2587.6765</v>
      </c>
    </row>
    <row r="116" spans="1:10">
      <c r="A116" s="69"/>
      <c r="B116" s="70"/>
      <c r="C116" s="70"/>
      <c r="D116" s="70"/>
      <c r="E116" s="80"/>
      <c r="F116" s="70"/>
      <c r="G116" s="70"/>
      <c r="H116" s="5"/>
      <c r="I116" s="168" t="s">
        <v>18</v>
      </c>
      <c r="J116" s="169">
        <f>SUM(J115)</f>
        <v>2587.6765</v>
      </c>
    </row>
    <row r="117" spans="1:10">
      <c r="A117" s="61" t="s">
        <v>182</v>
      </c>
      <c r="B117" s="61" t="s">
        <v>183</v>
      </c>
      <c r="C117" s="62"/>
      <c r="D117" s="63"/>
      <c r="E117" s="64"/>
      <c r="F117" s="64"/>
      <c r="G117" s="64"/>
      <c r="H117" s="64"/>
      <c r="I117" s="64"/>
      <c r="J117" s="64"/>
    </row>
    <row r="118" spans="1:10">
      <c r="A118" s="50" t="s">
        <v>184</v>
      </c>
      <c r="B118" s="51" t="s">
        <v>185</v>
      </c>
      <c r="C118" s="50"/>
      <c r="D118" s="59"/>
      <c r="E118" s="60"/>
      <c r="F118" s="60"/>
      <c r="G118" s="60"/>
      <c r="H118" s="60"/>
      <c r="I118" s="60"/>
      <c r="J118" s="60"/>
    </row>
    <row r="119" spans="1:10" ht="30.75" customHeight="1">
      <c r="A119" s="46" t="s">
        <v>348</v>
      </c>
      <c r="B119" s="49"/>
      <c r="C119" s="46" t="s">
        <v>186</v>
      </c>
      <c r="D119" s="48" t="s">
        <v>7</v>
      </c>
      <c r="E119" s="93">
        <v>315.66000000000003</v>
      </c>
      <c r="F119" s="93">
        <v>102.48</v>
      </c>
      <c r="G119" s="93">
        <f>E119+F119</f>
        <v>418.14000000000004</v>
      </c>
      <c r="H119" s="40">
        <f t="shared" ref="H119" si="56">G119*1.2293</f>
        <v>514.0195020000001</v>
      </c>
      <c r="I119" s="52">
        <v>1</v>
      </c>
      <c r="J119" s="31">
        <f t="shared" ref="J119" si="57">H119*I119</f>
        <v>514.0195020000001</v>
      </c>
    </row>
    <row r="120" spans="1:10">
      <c r="A120" s="50" t="s">
        <v>187</v>
      </c>
      <c r="B120" s="51" t="s">
        <v>188</v>
      </c>
      <c r="C120" s="50"/>
      <c r="D120" s="59"/>
      <c r="E120" s="60"/>
      <c r="F120" s="60"/>
      <c r="G120" s="60"/>
      <c r="H120" s="60"/>
      <c r="I120" s="60"/>
      <c r="J120" s="60"/>
    </row>
    <row r="121" spans="1:10" ht="25.5">
      <c r="A121" s="46" t="s">
        <v>189</v>
      </c>
      <c r="B121" s="49"/>
      <c r="C121" s="46" t="s">
        <v>190</v>
      </c>
      <c r="D121" s="48" t="s">
        <v>7</v>
      </c>
      <c r="E121" s="93">
        <v>15.71</v>
      </c>
      <c r="F121" s="93">
        <v>10.29</v>
      </c>
      <c r="G121" s="93">
        <f>E121+F121</f>
        <v>26</v>
      </c>
      <c r="H121" s="40">
        <f t="shared" ref="H121:H122" si="58">G121*1.2293</f>
        <v>31.9618</v>
      </c>
      <c r="I121" s="52">
        <v>2</v>
      </c>
      <c r="J121" s="31">
        <f t="shared" ref="J121:J122" si="59">H121*I121</f>
        <v>63.9236</v>
      </c>
    </row>
    <row r="122" spans="1:10" ht="24.75" customHeight="1">
      <c r="A122" s="46" t="s">
        <v>346</v>
      </c>
      <c r="B122" s="49"/>
      <c r="C122" s="46" t="s">
        <v>347</v>
      </c>
      <c r="D122" s="48" t="s">
        <v>7</v>
      </c>
      <c r="E122" s="93">
        <v>75.55</v>
      </c>
      <c r="F122" s="93">
        <v>20.56</v>
      </c>
      <c r="G122" s="93">
        <f>E122+F122</f>
        <v>96.11</v>
      </c>
      <c r="H122" s="40">
        <f t="shared" si="58"/>
        <v>118.14802300000001</v>
      </c>
      <c r="I122" s="52">
        <v>3</v>
      </c>
      <c r="J122" s="31">
        <f t="shared" si="59"/>
        <v>354.44406900000001</v>
      </c>
    </row>
    <row r="123" spans="1:10">
      <c r="A123" s="50" t="s">
        <v>191</v>
      </c>
      <c r="B123" s="51" t="s">
        <v>192</v>
      </c>
      <c r="C123" s="50"/>
      <c r="D123" s="59"/>
      <c r="E123" s="60"/>
      <c r="F123" s="60"/>
      <c r="G123" s="60"/>
      <c r="H123" s="60"/>
      <c r="I123" s="60"/>
      <c r="J123" s="60"/>
    </row>
    <row r="124" spans="1:10" ht="25.5">
      <c r="A124" s="46" t="s">
        <v>193</v>
      </c>
      <c r="B124" s="49"/>
      <c r="C124" s="46" t="s">
        <v>194</v>
      </c>
      <c r="D124" s="48" t="s">
        <v>7</v>
      </c>
      <c r="E124" s="93">
        <v>41.6</v>
      </c>
      <c r="F124" s="93">
        <v>19.54</v>
      </c>
      <c r="G124" s="93">
        <f>E124+F124</f>
        <v>61.14</v>
      </c>
      <c r="H124" s="40">
        <f t="shared" ref="H124" si="60">G124*1.2293</f>
        <v>75.159402</v>
      </c>
      <c r="I124" s="52">
        <v>2</v>
      </c>
      <c r="J124" s="31">
        <f t="shared" ref="J124" si="61">H124*I124</f>
        <v>150.318804</v>
      </c>
    </row>
    <row r="125" spans="1:10">
      <c r="A125" s="81"/>
      <c r="B125" s="82"/>
      <c r="C125" s="81"/>
      <c r="D125" s="83"/>
      <c r="E125" s="84"/>
      <c r="F125" s="84"/>
      <c r="G125" s="84"/>
      <c r="H125" s="5"/>
      <c r="I125" s="168" t="s">
        <v>18</v>
      </c>
      <c r="J125" s="169">
        <f>SUM(J119:J124)</f>
        <v>1082.7059750000001</v>
      </c>
    </row>
    <row r="126" spans="1:10">
      <c r="A126" s="61" t="s">
        <v>195</v>
      </c>
      <c r="B126" s="61" t="s">
        <v>196</v>
      </c>
      <c r="C126" s="62"/>
      <c r="D126" s="63"/>
      <c r="E126" s="64"/>
      <c r="F126" s="64"/>
      <c r="G126" s="64"/>
      <c r="H126" s="64"/>
      <c r="I126" s="64"/>
      <c r="J126" s="64"/>
    </row>
    <row r="127" spans="1:10">
      <c r="A127" s="65" t="s">
        <v>197</v>
      </c>
      <c r="B127" s="65" t="s">
        <v>198</v>
      </c>
      <c r="C127" s="66"/>
      <c r="D127" s="67"/>
      <c r="E127" s="68"/>
      <c r="F127" s="68"/>
      <c r="G127" s="68"/>
      <c r="H127" s="68"/>
      <c r="I127" s="68"/>
      <c r="J127" s="68"/>
    </row>
    <row r="128" spans="1:10" ht="15" customHeight="1">
      <c r="A128" s="46" t="s">
        <v>199</v>
      </c>
      <c r="B128" s="49"/>
      <c r="C128" s="46" t="s">
        <v>200</v>
      </c>
      <c r="D128" s="48" t="s">
        <v>10</v>
      </c>
      <c r="E128" s="93">
        <v>6.14</v>
      </c>
      <c r="F128" s="93">
        <v>20.56</v>
      </c>
      <c r="G128" s="93">
        <f>E128+F128</f>
        <v>26.7</v>
      </c>
      <c r="H128" s="40">
        <f t="shared" ref="H128" si="62">G128*1.2293</f>
        <v>32.822310000000002</v>
      </c>
      <c r="I128" s="52">
        <v>30</v>
      </c>
      <c r="J128" s="31">
        <f t="shared" ref="J128" si="63">H128*I128</f>
        <v>984.66930000000002</v>
      </c>
    </row>
    <row r="129" spans="1:10">
      <c r="A129" s="50" t="s">
        <v>201</v>
      </c>
      <c r="B129" s="51" t="s">
        <v>202</v>
      </c>
      <c r="C129" s="50"/>
      <c r="D129" s="59"/>
      <c r="E129" s="60"/>
      <c r="F129" s="60"/>
      <c r="G129" s="60"/>
      <c r="H129" s="60"/>
      <c r="I129" s="60"/>
      <c r="J129" s="60"/>
    </row>
    <row r="130" spans="1:10" ht="25.5">
      <c r="A130" s="46" t="s">
        <v>203</v>
      </c>
      <c r="B130" s="49"/>
      <c r="C130" s="46" t="s">
        <v>204</v>
      </c>
      <c r="D130" s="48" t="s">
        <v>10</v>
      </c>
      <c r="E130" s="93">
        <v>1.62</v>
      </c>
      <c r="F130" s="93">
        <v>10.29</v>
      </c>
      <c r="G130" s="93">
        <v>11.59</v>
      </c>
      <c r="H130" s="40">
        <f t="shared" ref="H130:H131" si="64">G130*1.2293</f>
        <v>14.247587000000001</v>
      </c>
      <c r="I130" s="52">
        <v>50</v>
      </c>
      <c r="J130" s="31">
        <f t="shared" ref="J130:J131" si="65">H130*I130</f>
        <v>712.37935000000004</v>
      </c>
    </row>
    <row r="131" spans="1:10" ht="25.5">
      <c r="A131" s="46" t="s">
        <v>205</v>
      </c>
      <c r="B131" s="49"/>
      <c r="C131" s="46" t="s">
        <v>206</v>
      </c>
      <c r="D131" s="48" t="s">
        <v>10</v>
      </c>
      <c r="E131" s="93">
        <v>1.95</v>
      </c>
      <c r="F131" s="93">
        <v>10.29</v>
      </c>
      <c r="G131" s="93">
        <v>11.83</v>
      </c>
      <c r="H131" s="40">
        <f t="shared" si="64"/>
        <v>14.542619</v>
      </c>
      <c r="I131" s="52">
        <v>30</v>
      </c>
      <c r="J131" s="31">
        <f t="shared" si="65"/>
        <v>436.27857</v>
      </c>
    </row>
    <row r="132" spans="1:10">
      <c r="A132" s="46"/>
      <c r="B132" s="49"/>
      <c r="C132" s="46"/>
      <c r="D132" s="48"/>
      <c r="E132" s="47"/>
      <c r="F132" s="47"/>
      <c r="G132" s="47"/>
      <c r="H132" s="5"/>
      <c r="I132" s="168" t="s">
        <v>18</v>
      </c>
      <c r="J132" s="169">
        <f>SUM(J128:J131)</f>
        <v>2133.3272200000001</v>
      </c>
    </row>
    <row r="133" spans="1:10">
      <c r="A133" s="85" t="s">
        <v>207</v>
      </c>
      <c r="B133" s="85" t="s">
        <v>208</v>
      </c>
      <c r="C133" s="86"/>
      <c r="D133" s="87"/>
      <c r="E133" s="88"/>
      <c r="F133" s="88"/>
      <c r="G133" s="88"/>
      <c r="H133" s="88"/>
      <c r="I133" s="88"/>
      <c r="J133" s="88"/>
    </row>
    <row r="134" spans="1:10">
      <c r="A134" s="50" t="s">
        <v>349</v>
      </c>
      <c r="B134" s="51" t="s">
        <v>350</v>
      </c>
      <c r="C134" s="50"/>
      <c r="D134" s="59"/>
      <c r="E134" s="60"/>
      <c r="F134" s="60"/>
      <c r="G134" s="60"/>
      <c r="H134" s="60"/>
      <c r="I134" s="60"/>
      <c r="J134" s="60"/>
    </row>
    <row r="135" spans="1:10" ht="25.5">
      <c r="A135" s="46" t="s">
        <v>355</v>
      </c>
      <c r="B135" s="49"/>
      <c r="C135" s="46" t="s">
        <v>351</v>
      </c>
      <c r="D135" s="48" t="s">
        <v>10</v>
      </c>
      <c r="E135" s="93">
        <v>1.06</v>
      </c>
      <c r="F135" s="93">
        <v>1.37</v>
      </c>
      <c r="G135" s="93">
        <f>+E135+F135</f>
        <v>2.4300000000000002</v>
      </c>
      <c r="H135" s="40">
        <f t="shared" ref="H135" si="66">G135*1.2293</f>
        <v>2.9871990000000004</v>
      </c>
      <c r="I135" s="52">
        <v>100</v>
      </c>
      <c r="J135" s="172">
        <f t="shared" ref="J135" si="67">H135*I135</f>
        <v>298.71990000000005</v>
      </c>
    </row>
    <row r="136" spans="1:10" ht="25.5">
      <c r="A136" s="46" t="s">
        <v>356</v>
      </c>
      <c r="B136" s="49"/>
      <c r="C136" s="46" t="s">
        <v>352</v>
      </c>
      <c r="D136" s="48" t="s">
        <v>10</v>
      </c>
      <c r="E136" s="93">
        <v>1.89</v>
      </c>
      <c r="F136" s="93">
        <v>1.37</v>
      </c>
      <c r="G136" s="93">
        <f t="shared" ref="G136:G138" si="68">+E136+F136</f>
        <v>3.26</v>
      </c>
      <c r="H136" s="40">
        <f t="shared" ref="H136" si="69">G136*1.2293</f>
        <v>4.0075180000000001</v>
      </c>
      <c r="I136" s="52">
        <v>300</v>
      </c>
      <c r="J136" s="172">
        <f t="shared" ref="J136" si="70">H136*I136</f>
        <v>1202.2554</v>
      </c>
    </row>
    <row r="137" spans="1:10" ht="25.5">
      <c r="A137" s="46" t="s">
        <v>357</v>
      </c>
      <c r="B137" s="49"/>
      <c r="C137" s="46" t="s">
        <v>353</v>
      </c>
      <c r="D137" s="48" t="s">
        <v>10</v>
      </c>
      <c r="E137" s="93">
        <v>4.6500000000000004</v>
      </c>
      <c r="F137" s="93">
        <v>2.39</v>
      </c>
      <c r="G137" s="93">
        <f t="shared" si="68"/>
        <v>7.0400000000000009</v>
      </c>
      <c r="H137" s="40">
        <f t="shared" ref="H137" si="71">G137*1.2293</f>
        <v>8.6542720000000024</v>
      </c>
      <c r="I137" s="52">
        <v>80</v>
      </c>
      <c r="J137" s="172">
        <f t="shared" ref="J137" si="72">H137*I137</f>
        <v>692.34176000000025</v>
      </c>
    </row>
    <row r="138" spans="1:10" ht="25.5">
      <c r="A138" s="46" t="s">
        <v>358</v>
      </c>
      <c r="B138" s="49"/>
      <c r="C138" s="46" t="s">
        <v>354</v>
      </c>
      <c r="D138" s="48" t="s">
        <v>10</v>
      </c>
      <c r="E138" s="93">
        <v>7.21</v>
      </c>
      <c r="F138" s="93">
        <v>2.73</v>
      </c>
      <c r="G138" s="93">
        <f t="shared" si="68"/>
        <v>9.94</v>
      </c>
      <c r="H138" s="40">
        <f t="shared" ref="H138:H142" si="73">G138*1.2293</f>
        <v>12.219241999999999</v>
      </c>
      <c r="I138" s="52">
        <v>100</v>
      </c>
      <c r="J138" s="172">
        <f t="shared" ref="J138:J142" si="74">H138*I138</f>
        <v>1221.9241999999999</v>
      </c>
    </row>
    <row r="139" spans="1:10">
      <c r="A139" s="50" t="s">
        <v>382</v>
      </c>
      <c r="B139" s="51" t="s">
        <v>383</v>
      </c>
      <c r="C139" s="50"/>
      <c r="D139" s="59"/>
      <c r="E139" s="60"/>
      <c r="F139" s="60"/>
      <c r="G139" s="60"/>
      <c r="H139" s="60"/>
      <c r="I139" s="60"/>
      <c r="J139" s="60"/>
    </row>
    <row r="140" spans="1:10">
      <c r="A140" s="98"/>
      <c r="B140" s="99"/>
      <c r="C140" s="98" t="s">
        <v>384</v>
      </c>
      <c r="D140" s="100"/>
      <c r="E140" s="93">
        <v>4.62</v>
      </c>
      <c r="F140" s="93">
        <v>1.7</v>
      </c>
      <c r="G140" s="93">
        <f t="shared" ref="G140:G142" si="75">+E140+F140</f>
        <v>6.32</v>
      </c>
      <c r="H140" s="40">
        <f t="shared" ref="H140" si="76">G140*1.2293</f>
        <v>7.7691760000000007</v>
      </c>
      <c r="I140" s="52">
        <v>2.5</v>
      </c>
      <c r="J140" s="31">
        <f t="shared" ref="J140" si="77">H140*I140</f>
        <v>19.422940000000001</v>
      </c>
    </row>
    <row r="141" spans="1:10">
      <c r="A141" s="50" t="s">
        <v>209</v>
      </c>
      <c r="B141" s="51" t="s">
        <v>210</v>
      </c>
      <c r="C141" s="50"/>
      <c r="D141" s="59"/>
      <c r="E141" s="60"/>
      <c r="F141" s="60"/>
      <c r="G141" s="60"/>
      <c r="H141" s="60"/>
      <c r="I141" s="60"/>
      <c r="J141" s="60"/>
    </row>
    <row r="142" spans="1:10" ht="15.75" customHeight="1">
      <c r="A142" s="46" t="s">
        <v>211</v>
      </c>
      <c r="B142" s="49"/>
      <c r="C142" s="46" t="s">
        <v>325</v>
      </c>
      <c r="D142" s="48" t="s">
        <v>7</v>
      </c>
      <c r="E142" s="93">
        <v>6.58</v>
      </c>
      <c r="F142" s="93">
        <v>3.44</v>
      </c>
      <c r="G142" s="93">
        <f t="shared" si="75"/>
        <v>10.02</v>
      </c>
      <c r="H142" s="40">
        <f t="shared" si="73"/>
        <v>12.317586</v>
      </c>
      <c r="I142" s="52">
        <v>4</v>
      </c>
      <c r="J142" s="31">
        <f t="shared" si="74"/>
        <v>49.270344000000001</v>
      </c>
    </row>
    <row r="143" spans="1:10">
      <c r="A143" s="46"/>
      <c r="B143" s="49"/>
      <c r="C143" s="46"/>
      <c r="D143" s="48"/>
      <c r="E143" s="47"/>
      <c r="F143" s="47"/>
      <c r="G143" s="47"/>
      <c r="H143" s="5"/>
      <c r="I143" s="168" t="s">
        <v>18</v>
      </c>
      <c r="J143" s="169">
        <f>SUM(J135:J142)</f>
        <v>3483.9345440000002</v>
      </c>
    </row>
    <row r="144" spans="1:10">
      <c r="A144" s="61" t="s">
        <v>212</v>
      </c>
      <c r="B144" s="61" t="s">
        <v>213</v>
      </c>
      <c r="C144" s="62"/>
      <c r="D144" s="63"/>
      <c r="E144" s="64"/>
      <c r="F144" s="64"/>
      <c r="G144" s="64"/>
      <c r="H144" s="64"/>
      <c r="I144" s="64"/>
      <c r="J144" s="64"/>
    </row>
    <row r="145" spans="1:10">
      <c r="A145" s="50" t="s">
        <v>214</v>
      </c>
      <c r="B145" s="51" t="s">
        <v>215</v>
      </c>
      <c r="C145" s="50"/>
      <c r="D145" s="59"/>
      <c r="E145" s="60"/>
      <c r="F145" s="60"/>
      <c r="G145" s="60"/>
      <c r="H145" s="60"/>
      <c r="I145" s="60"/>
      <c r="J145" s="60"/>
    </row>
    <row r="146" spans="1:10">
      <c r="A146" s="46" t="s">
        <v>216</v>
      </c>
      <c r="B146" s="49"/>
      <c r="C146" s="46" t="s">
        <v>217</v>
      </c>
      <c r="D146" s="48" t="s">
        <v>155</v>
      </c>
      <c r="E146" s="93">
        <v>9.82</v>
      </c>
      <c r="F146" s="93">
        <v>10.29</v>
      </c>
      <c r="G146" s="93">
        <f>F146+E146</f>
        <v>20.11</v>
      </c>
      <c r="H146" s="40">
        <f t="shared" ref="H146:H147" si="78">G146*1.2293</f>
        <v>24.721223000000002</v>
      </c>
      <c r="I146" s="52">
        <v>10</v>
      </c>
      <c r="J146" s="31">
        <f t="shared" ref="J146:J147" si="79">H146*I146</f>
        <v>247.21223000000003</v>
      </c>
    </row>
    <row r="147" spans="1:10">
      <c r="A147" s="46" t="s">
        <v>218</v>
      </c>
      <c r="B147" s="49"/>
      <c r="C147" s="46" t="s">
        <v>219</v>
      </c>
      <c r="D147" s="48" t="s">
        <v>155</v>
      </c>
      <c r="E147" s="93">
        <v>18.72</v>
      </c>
      <c r="F147" s="93">
        <v>10.29</v>
      </c>
      <c r="G147" s="93">
        <f>F147+E147</f>
        <v>29.009999999999998</v>
      </c>
      <c r="H147" s="40">
        <f t="shared" si="78"/>
        <v>35.661993000000002</v>
      </c>
      <c r="I147" s="52">
        <v>5</v>
      </c>
      <c r="J147" s="31">
        <f t="shared" si="79"/>
        <v>178.30996500000001</v>
      </c>
    </row>
    <row r="148" spans="1:10">
      <c r="A148" s="50" t="s">
        <v>220</v>
      </c>
      <c r="B148" s="51" t="s">
        <v>221</v>
      </c>
      <c r="C148" s="50"/>
      <c r="D148" s="59"/>
      <c r="E148" s="60"/>
      <c r="F148" s="60"/>
      <c r="G148" s="60"/>
      <c r="H148" s="60"/>
      <c r="I148" s="60"/>
      <c r="J148" s="60"/>
    </row>
    <row r="149" spans="1:10">
      <c r="A149" s="46" t="s">
        <v>222</v>
      </c>
      <c r="B149" s="49"/>
      <c r="C149" s="46" t="s">
        <v>223</v>
      </c>
      <c r="D149" s="48" t="s">
        <v>155</v>
      </c>
      <c r="E149" s="93">
        <v>6.86</v>
      </c>
      <c r="F149" s="93">
        <v>11.66</v>
      </c>
      <c r="G149" s="93">
        <f>F149+E149</f>
        <v>18.52</v>
      </c>
      <c r="H149" s="40">
        <f t="shared" ref="H149" si="80">G149*1.2293</f>
        <v>22.766636000000002</v>
      </c>
      <c r="I149" s="52">
        <f>8+1</f>
        <v>9</v>
      </c>
      <c r="J149" s="31">
        <f t="shared" ref="J149" si="81">H149*I149</f>
        <v>204.89972400000002</v>
      </c>
    </row>
    <row r="150" spans="1:10">
      <c r="A150" s="65" t="s">
        <v>359</v>
      </c>
      <c r="B150" s="65" t="s">
        <v>360</v>
      </c>
      <c r="C150" s="66"/>
      <c r="D150" s="67"/>
      <c r="E150" s="68"/>
      <c r="F150" s="68"/>
      <c r="G150" s="68"/>
      <c r="H150" s="68"/>
      <c r="I150" s="68"/>
      <c r="J150" s="68"/>
    </row>
    <row r="151" spans="1:10">
      <c r="A151" s="46" t="s">
        <v>364</v>
      </c>
      <c r="B151" s="49"/>
      <c r="C151" s="46" t="s">
        <v>361</v>
      </c>
      <c r="D151" s="48" t="s">
        <v>7</v>
      </c>
      <c r="E151" s="93">
        <v>2.19</v>
      </c>
      <c r="F151" s="93">
        <v>8.56</v>
      </c>
      <c r="G151" s="93">
        <f>F151+E151</f>
        <v>10.75</v>
      </c>
      <c r="H151" s="40">
        <f t="shared" ref="H151:H152" si="82">G151*1.2293</f>
        <v>13.214975000000001</v>
      </c>
      <c r="I151" s="52">
        <v>19</v>
      </c>
      <c r="J151" s="31">
        <f t="shared" ref="J151:J152" si="83">H151*I151</f>
        <v>251.08452500000001</v>
      </c>
    </row>
    <row r="152" spans="1:10">
      <c r="A152" s="46" t="s">
        <v>363</v>
      </c>
      <c r="B152" s="49"/>
      <c r="C152" s="46" t="s">
        <v>362</v>
      </c>
      <c r="D152" s="48" t="s">
        <v>7</v>
      </c>
      <c r="E152" s="93">
        <v>4.42</v>
      </c>
      <c r="F152" s="93">
        <v>8.56</v>
      </c>
      <c r="G152" s="93">
        <f>F152+E152</f>
        <v>12.98</v>
      </c>
      <c r="H152" s="40">
        <f t="shared" si="82"/>
        <v>15.956314000000001</v>
      </c>
      <c r="I152" s="52">
        <v>2</v>
      </c>
      <c r="J152" s="31">
        <f t="shared" si="83"/>
        <v>31.912628000000002</v>
      </c>
    </row>
    <row r="153" spans="1:10">
      <c r="A153" s="65" t="s">
        <v>374</v>
      </c>
      <c r="B153" s="65" t="s">
        <v>375</v>
      </c>
      <c r="C153" s="66"/>
      <c r="D153" s="67"/>
      <c r="E153" s="68"/>
      <c r="F153" s="68"/>
      <c r="G153" s="68"/>
      <c r="H153" s="68"/>
      <c r="I153" s="68"/>
      <c r="J153" s="68"/>
    </row>
    <row r="154" spans="1:10">
      <c r="A154" s="46" t="s">
        <v>376</v>
      </c>
      <c r="B154" s="49"/>
      <c r="C154" s="46" t="s">
        <v>377</v>
      </c>
      <c r="D154" s="48" t="s">
        <v>7</v>
      </c>
      <c r="E154" s="93">
        <v>59.4</v>
      </c>
      <c r="F154" s="93">
        <v>15.42</v>
      </c>
      <c r="G154" s="93">
        <f>F154+E154</f>
        <v>74.819999999999993</v>
      </c>
      <c r="H154" s="40">
        <f t="shared" ref="H154" si="84">G154*1.2293</f>
        <v>91.976225999999997</v>
      </c>
      <c r="I154" s="52">
        <v>1</v>
      </c>
      <c r="J154" s="31">
        <f t="shared" ref="J154" si="85">H154*I154</f>
        <v>91.976225999999997</v>
      </c>
    </row>
    <row r="155" spans="1:10">
      <c r="A155" s="46"/>
      <c r="B155" s="49"/>
      <c r="C155" s="46"/>
      <c r="D155" s="48"/>
      <c r="E155" s="47"/>
      <c r="F155" s="47"/>
      <c r="G155" s="47"/>
      <c r="H155" s="5"/>
      <c r="I155" s="168" t="s">
        <v>18</v>
      </c>
      <c r="J155" s="169">
        <f>SUM(J145:J154)</f>
        <v>1005.395298</v>
      </c>
    </row>
    <row r="156" spans="1:10">
      <c r="A156" s="61" t="s">
        <v>224</v>
      </c>
      <c r="B156" s="61" t="s">
        <v>225</v>
      </c>
      <c r="C156" s="62"/>
      <c r="D156" s="63"/>
      <c r="E156" s="64"/>
      <c r="F156" s="64"/>
      <c r="G156" s="64"/>
      <c r="H156" s="64"/>
      <c r="I156" s="64"/>
      <c r="J156" s="64"/>
    </row>
    <row r="157" spans="1:10">
      <c r="A157" s="65" t="s">
        <v>226</v>
      </c>
      <c r="B157" s="65" t="s">
        <v>227</v>
      </c>
      <c r="C157" s="66"/>
      <c r="D157" s="67"/>
      <c r="E157" s="68"/>
      <c r="F157" s="68"/>
      <c r="G157" s="68"/>
      <c r="H157" s="68"/>
      <c r="I157" s="68"/>
      <c r="J157" s="68"/>
    </row>
    <row r="158" spans="1:10">
      <c r="A158" s="46" t="s">
        <v>366</v>
      </c>
      <c r="B158" s="49"/>
      <c r="C158" s="46" t="s">
        <v>365</v>
      </c>
      <c r="D158" s="48" t="s">
        <v>7</v>
      </c>
      <c r="E158" s="93">
        <v>28.19</v>
      </c>
      <c r="F158" s="93">
        <v>2.79</v>
      </c>
      <c r="G158" s="93">
        <f>F158+E158</f>
        <v>30.98</v>
      </c>
      <c r="H158" s="40">
        <f t="shared" ref="H158" si="86">G158*1.2293</f>
        <v>38.083714000000001</v>
      </c>
      <c r="I158" s="52">
        <v>7</v>
      </c>
      <c r="J158" s="31">
        <f t="shared" ref="J158" si="87">H158*I158</f>
        <v>266.58599800000002</v>
      </c>
    </row>
    <row r="159" spans="1:10">
      <c r="A159" s="50" t="s">
        <v>369</v>
      </c>
      <c r="B159" s="51" t="s">
        <v>370</v>
      </c>
      <c r="C159" s="50"/>
      <c r="D159" s="59"/>
      <c r="E159" s="60"/>
      <c r="F159" s="60"/>
      <c r="G159" s="60"/>
      <c r="H159" s="60"/>
      <c r="I159" s="60"/>
      <c r="J159" s="60"/>
    </row>
    <row r="160" spans="1:10" ht="28.5" customHeight="1">
      <c r="A160" s="46" t="s">
        <v>368</v>
      </c>
      <c r="B160" s="49"/>
      <c r="C160" s="46" t="s">
        <v>367</v>
      </c>
      <c r="D160" s="48" t="s">
        <v>7</v>
      </c>
      <c r="E160" s="93">
        <v>5.44</v>
      </c>
      <c r="F160" s="93">
        <v>2.79</v>
      </c>
      <c r="G160" s="93">
        <f>F160+E160</f>
        <v>8.23</v>
      </c>
      <c r="H160" s="40">
        <f t="shared" ref="H160" si="88">G160*1.2293</f>
        <v>10.117139000000002</v>
      </c>
      <c r="I160" s="52">
        <v>7</v>
      </c>
      <c r="J160" s="31">
        <f t="shared" ref="J160" si="89">H160*I160</f>
        <v>70.819973000000005</v>
      </c>
    </row>
    <row r="161" spans="1:10">
      <c r="A161" s="50" t="s">
        <v>371</v>
      </c>
      <c r="B161" s="51" t="s">
        <v>372</v>
      </c>
      <c r="C161" s="50"/>
      <c r="D161" s="59"/>
      <c r="E161" s="60"/>
      <c r="F161" s="60"/>
      <c r="G161" s="60"/>
      <c r="H161" s="60"/>
      <c r="I161" s="60"/>
      <c r="J161" s="60"/>
    </row>
    <row r="162" spans="1:10" ht="39.75" customHeight="1">
      <c r="A162" s="46" t="s">
        <v>228</v>
      </c>
      <c r="B162" s="49"/>
      <c r="C162" s="46" t="s">
        <v>373</v>
      </c>
      <c r="D162" s="48" t="s">
        <v>7</v>
      </c>
      <c r="E162" s="93">
        <v>247.02</v>
      </c>
      <c r="F162" s="93">
        <v>13.71</v>
      </c>
      <c r="G162" s="93">
        <f>F162+E162</f>
        <v>260.73</v>
      </c>
      <c r="H162" s="40">
        <f t="shared" ref="H162" si="90">G162*1.2293</f>
        <v>320.51538900000003</v>
      </c>
      <c r="I162" s="52">
        <v>2</v>
      </c>
      <c r="J162" s="31">
        <f t="shared" ref="J162" si="91">H162*I162</f>
        <v>641.03077800000005</v>
      </c>
    </row>
    <row r="163" spans="1:10">
      <c r="A163" s="46"/>
      <c r="B163" s="49"/>
      <c r="C163" s="46"/>
      <c r="D163" s="48"/>
      <c r="E163" s="47"/>
      <c r="F163" s="47"/>
      <c r="G163" s="47"/>
      <c r="H163" s="5"/>
      <c r="I163" s="168" t="s">
        <v>18</v>
      </c>
      <c r="J163" s="169">
        <f>SUM(J158:J162)</f>
        <v>978.43674900000008</v>
      </c>
    </row>
    <row r="164" spans="1:10">
      <c r="A164" s="85" t="s">
        <v>229</v>
      </c>
      <c r="B164" s="85" t="s">
        <v>230</v>
      </c>
      <c r="C164" s="86"/>
      <c r="D164" s="87"/>
      <c r="E164" s="88"/>
      <c r="F164" s="88"/>
      <c r="G164" s="88"/>
      <c r="H164" s="64"/>
      <c r="I164" s="64"/>
      <c r="J164" s="64"/>
    </row>
    <row r="165" spans="1:10">
      <c r="A165" s="50" t="s">
        <v>231</v>
      </c>
      <c r="B165" s="51" t="s">
        <v>232</v>
      </c>
      <c r="C165" s="50"/>
      <c r="D165" s="59"/>
      <c r="E165" s="60"/>
      <c r="F165" s="60"/>
      <c r="G165" s="60"/>
      <c r="H165" s="68"/>
      <c r="I165" s="68"/>
      <c r="J165" s="68"/>
    </row>
    <row r="166" spans="1:10">
      <c r="A166" s="46" t="s">
        <v>378</v>
      </c>
      <c r="B166" s="49"/>
      <c r="C166" s="46" t="s">
        <v>379</v>
      </c>
      <c r="D166" s="48" t="s">
        <v>7</v>
      </c>
      <c r="E166" s="93">
        <v>3.76</v>
      </c>
      <c r="F166" s="93">
        <v>3.44</v>
      </c>
      <c r="G166" s="93">
        <f>E166+F166</f>
        <v>7.1999999999999993</v>
      </c>
      <c r="H166" s="40">
        <f t="shared" ref="H166" si="92">G166*1.2293</f>
        <v>8.8509599999999988</v>
      </c>
      <c r="I166" s="52">
        <v>1</v>
      </c>
      <c r="J166" s="31">
        <f t="shared" ref="J166" si="93">H166*I166</f>
        <v>8.8509599999999988</v>
      </c>
    </row>
    <row r="167" spans="1:10">
      <c r="A167" s="46" t="s">
        <v>381</v>
      </c>
      <c r="B167" s="49"/>
      <c r="C167" s="46" t="s">
        <v>380</v>
      </c>
      <c r="D167" s="48" t="s">
        <v>7</v>
      </c>
      <c r="E167" s="93">
        <v>75.260000000000005</v>
      </c>
      <c r="F167" s="93">
        <v>17.149999999999999</v>
      </c>
      <c r="G167" s="93">
        <f>E167+F167</f>
        <v>92.41</v>
      </c>
      <c r="H167" s="40">
        <f t="shared" ref="H167" si="94">G167*1.2293</f>
        <v>113.59961300000001</v>
      </c>
      <c r="I167" s="52">
        <v>1</v>
      </c>
      <c r="J167" s="31">
        <f t="shared" ref="J167" si="95">H167*I167</f>
        <v>113.59961300000001</v>
      </c>
    </row>
    <row r="168" spans="1:10">
      <c r="A168" s="46"/>
      <c r="B168" s="49"/>
      <c r="C168" s="46"/>
      <c r="D168" s="48"/>
      <c r="E168" s="47"/>
      <c r="F168" s="47"/>
      <c r="G168" s="47"/>
      <c r="H168" s="5"/>
      <c r="I168" s="168" t="s">
        <v>18</v>
      </c>
      <c r="J168" s="169">
        <f>SUM(J166:J167)</f>
        <v>122.45057300000001</v>
      </c>
    </row>
    <row r="169" spans="1:10">
      <c r="A169" s="61" t="s">
        <v>233</v>
      </c>
      <c r="B169" s="61" t="s">
        <v>234</v>
      </c>
      <c r="C169" s="62"/>
      <c r="D169" s="63"/>
      <c r="E169" s="64"/>
      <c r="F169" s="64"/>
      <c r="G169" s="64"/>
      <c r="H169" s="64"/>
      <c r="I169" s="64"/>
      <c r="J169" s="64"/>
    </row>
    <row r="170" spans="1:10">
      <c r="A170" s="50" t="s">
        <v>235</v>
      </c>
      <c r="B170" s="51" t="s">
        <v>236</v>
      </c>
      <c r="C170" s="50"/>
      <c r="D170" s="59"/>
      <c r="E170" s="60"/>
      <c r="F170" s="60"/>
      <c r="G170" s="60"/>
      <c r="H170" s="60"/>
      <c r="I170" s="60"/>
      <c r="J170" s="60"/>
    </row>
    <row r="171" spans="1:10">
      <c r="A171" s="46" t="s">
        <v>237</v>
      </c>
      <c r="B171" s="49"/>
      <c r="C171" s="46" t="s">
        <v>238</v>
      </c>
      <c r="D171" s="48" t="s">
        <v>7</v>
      </c>
      <c r="E171" s="93">
        <v>65.06</v>
      </c>
      <c r="F171" s="93">
        <v>27.32</v>
      </c>
      <c r="G171" s="93">
        <f>E171+F171</f>
        <v>92.38</v>
      </c>
      <c r="H171" s="40">
        <f t="shared" ref="H171" si="96">G171*1.2293</f>
        <v>113.56273400000001</v>
      </c>
      <c r="I171" s="52">
        <v>1</v>
      </c>
      <c r="J171" s="31">
        <f t="shared" ref="J171" si="97">H171*I171</f>
        <v>113.56273400000001</v>
      </c>
    </row>
    <row r="172" spans="1:10">
      <c r="A172" s="46"/>
      <c r="B172" s="49"/>
      <c r="C172" s="46"/>
      <c r="D172" s="48"/>
      <c r="E172" s="47"/>
      <c r="F172" s="47"/>
      <c r="G172" s="47"/>
      <c r="H172" s="5"/>
      <c r="I172" s="168" t="s">
        <v>18</v>
      </c>
      <c r="J172" s="169">
        <f>SUM(J170:J171)</f>
        <v>113.56273400000001</v>
      </c>
    </row>
    <row r="173" spans="1:10">
      <c r="A173" s="61" t="s">
        <v>239</v>
      </c>
      <c r="B173" s="61" t="s">
        <v>240</v>
      </c>
      <c r="C173" s="62"/>
      <c r="D173" s="63"/>
      <c r="E173" s="64"/>
      <c r="F173" s="64"/>
      <c r="G173" s="64"/>
      <c r="H173" s="64"/>
      <c r="I173" s="64"/>
      <c r="J173" s="64"/>
    </row>
    <row r="174" spans="1:10">
      <c r="A174" s="65" t="s">
        <v>241</v>
      </c>
      <c r="B174" s="65" t="s">
        <v>242</v>
      </c>
      <c r="C174" s="66"/>
      <c r="D174" s="67"/>
      <c r="E174" s="68"/>
      <c r="F174" s="68"/>
      <c r="G174" s="68"/>
      <c r="H174" s="68"/>
      <c r="I174" s="68"/>
      <c r="J174" s="68"/>
    </row>
    <row r="175" spans="1:10">
      <c r="A175" s="46" t="s">
        <v>243</v>
      </c>
      <c r="B175" s="49"/>
      <c r="C175" s="46" t="s">
        <v>244</v>
      </c>
      <c r="D175" s="48" t="s">
        <v>7</v>
      </c>
      <c r="E175" s="93">
        <v>157.03</v>
      </c>
      <c r="F175" s="93">
        <v>41.25</v>
      </c>
      <c r="G175" s="93">
        <f>E175+F175</f>
        <v>198.28</v>
      </c>
      <c r="H175" s="40">
        <f t="shared" ref="H175" si="98">G175*1.2293</f>
        <v>243.74560400000001</v>
      </c>
      <c r="I175" s="52">
        <v>1</v>
      </c>
      <c r="J175" s="31">
        <f t="shared" ref="J175" si="99">H175*I175</f>
        <v>243.74560400000001</v>
      </c>
    </row>
    <row r="176" spans="1:10">
      <c r="A176" s="46" t="s">
        <v>245</v>
      </c>
      <c r="B176" s="49"/>
      <c r="C176" s="46" t="s">
        <v>246</v>
      </c>
      <c r="D176" s="48" t="s">
        <v>7</v>
      </c>
      <c r="E176" s="93">
        <v>62.37</v>
      </c>
      <c r="F176" s="93">
        <v>48.21</v>
      </c>
      <c r="G176" s="93">
        <f t="shared" ref="G176:G185" si="100">E176+F176</f>
        <v>110.58</v>
      </c>
      <c r="H176" s="40">
        <f t="shared" ref="H176:H190" si="101">G176*1.2293</f>
        <v>135.93599399999999</v>
      </c>
      <c r="I176" s="52">
        <v>1</v>
      </c>
      <c r="J176" s="31">
        <f t="shared" ref="J176:J190" si="102">H176*I176</f>
        <v>135.93599399999999</v>
      </c>
    </row>
    <row r="177" spans="1:10">
      <c r="A177" s="46" t="s">
        <v>247</v>
      </c>
      <c r="B177" s="49"/>
      <c r="C177" s="46" t="s">
        <v>248</v>
      </c>
      <c r="D177" s="48" t="s">
        <v>7</v>
      </c>
      <c r="E177" s="93">
        <v>68.87</v>
      </c>
      <c r="F177" s="93">
        <v>17.149999999999999</v>
      </c>
      <c r="G177" s="93">
        <f t="shared" si="100"/>
        <v>86.02000000000001</v>
      </c>
      <c r="H177" s="40">
        <f t="shared" si="101"/>
        <v>105.74438600000002</v>
      </c>
      <c r="I177" s="52">
        <v>1</v>
      </c>
      <c r="J177" s="31">
        <f t="shared" si="102"/>
        <v>105.74438600000002</v>
      </c>
    </row>
    <row r="178" spans="1:10">
      <c r="A178" s="46" t="s">
        <v>249</v>
      </c>
      <c r="B178" s="49"/>
      <c r="C178" s="46" t="s">
        <v>250</v>
      </c>
      <c r="D178" s="48" t="s">
        <v>7</v>
      </c>
      <c r="E178" s="93">
        <v>459.97</v>
      </c>
      <c r="F178" s="93">
        <v>102.81</v>
      </c>
      <c r="G178" s="93">
        <f t="shared" si="100"/>
        <v>562.78</v>
      </c>
      <c r="H178" s="40">
        <f t="shared" si="101"/>
        <v>691.82545400000004</v>
      </c>
      <c r="I178" s="52">
        <v>1</v>
      </c>
      <c r="J178" s="31">
        <f t="shared" si="102"/>
        <v>691.82545400000004</v>
      </c>
    </row>
    <row r="179" spans="1:10">
      <c r="A179" s="50" t="s">
        <v>251</v>
      </c>
      <c r="B179" s="51" t="s">
        <v>252</v>
      </c>
      <c r="C179" s="50"/>
      <c r="D179" s="59"/>
      <c r="E179" s="60"/>
      <c r="F179" s="60"/>
      <c r="G179" s="60"/>
      <c r="H179" s="60"/>
      <c r="I179" s="60"/>
      <c r="J179" s="60"/>
    </row>
    <row r="180" spans="1:10" ht="30" customHeight="1">
      <c r="A180" s="46" t="s">
        <v>404</v>
      </c>
      <c r="B180" s="49"/>
      <c r="C180" s="46" t="s">
        <v>403</v>
      </c>
      <c r="D180" s="48" t="s">
        <v>0</v>
      </c>
      <c r="E180" s="93">
        <v>337.78</v>
      </c>
      <c r="F180" s="93">
        <v>56.64</v>
      </c>
      <c r="G180" s="93">
        <f t="shared" si="100"/>
        <v>394.41999999999996</v>
      </c>
      <c r="H180" s="40">
        <f t="shared" si="101"/>
        <v>484.86050599999999</v>
      </c>
      <c r="I180" s="52">
        <f>1.6*0.6</f>
        <v>0.96</v>
      </c>
      <c r="J180" s="31">
        <f t="shared" si="102"/>
        <v>465.46608575999994</v>
      </c>
    </row>
    <row r="181" spans="1:10">
      <c r="A181" s="50" t="s">
        <v>253</v>
      </c>
      <c r="B181" s="51" t="s">
        <v>254</v>
      </c>
      <c r="C181" s="50"/>
      <c r="D181" s="59"/>
      <c r="E181" s="60"/>
      <c r="F181" s="60"/>
      <c r="G181" s="60"/>
      <c r="H181" s="60"/>
      <c r="I181" s="60"/>
      <c r="J181" s="60"/>
    </row>
    <row r="182" spans="1:10">
      <c r="A182" s="46" t="s">
        <v>255</v>
      </c>
      <c r="B182" s="49"/>
      <c r="C182" s="46" t="s">
        <v>256</v>
      </c>
      <c r="D182" s="48" t="s">
        <v>7</v>
      </c>
      <c r="E182" s="93">
        <v>33.630000000000003</v>
      </c>
      <c r="F182" s="93">
        <v>10.199999999999999</v>
      </c>
      <c r="G182" s="93">
        <f t="shared" si="100"/>
        <v>43.83</v>
      </c>
      <c r="H182" s="40">
        <f t="shared" si="101"/>
        <v>53.880219000000004</v>
      </c>
      <c r="I182" s="52">
        <v>1</v>
      </c>
      <c r="J182" s="31">
        <f t="shared" si="102"/>
        <v>53.880219000000004</v>
      </c>
    </row>
    <row r="183" spans="1:10">
      <c r="A183" s="46" t="s">
        <v>257</v>
      </c>
      <c r="B183" s="49"/>
      <c r="C183" s="46" t="s">
        <v>258</v>
      </c>
      <c r="D183" s="48" t="s">
        <v>7</v>
      </c>
      <c r="E183" s="93">
        <v>33.299999999999997</v>
      </c>
      <c r="F183" s="93">
        <v>10.199999999999999</v>
      </c>
      <c r="G183" s="93">
        <f t="shared" si="100"/>
        <v>43.5</v>
      </c>
      <c r="H183" s="40">
        <f t="shared" si="101"/>
        <v>53.474550000000001</v>
      </c>
      <c r="I183" s="52">
        <v>1</v>
      </c>
      <c r="J183" s="31">
        <f t="shared" si="102"/>
        <v>53.474550000000001</v>
      </c>
    </row>
    <row r="184" spans="1:10">
      <c r="A184" s="46" t="s">
        <v>259</v>
      </c>
      <c r="B184" s="49"/>
      <c r="C184" s="46" t="s">
        <v>260</v>
      </c>
      <c r="D184" s="48" t="s">
        <v>7</v>
      </c>
      <c r="E184" s="93">
        <v>32.31</v>
      </c>
      <c r="F184" s="93">
        <v>4.25</v>
      </c>
      <c r="G184" s="93">
        <f t="shared" si="100"/>
        <v>36.56</v>
      </c>
      <c r="H184" s="40">
        <f t="shared" si="101"/>
        <v>44.943208000000006</v>
      </c>
      <c r="I184" s="52">
        <v>2</v>
      </c>
      <c r="J184" s="31">
        <f t="shared" si="102"/>
        <v>89.886416000000011</v>
      </c>
    </row>
    <row r="185" spans="1:10" ht="25.5">
      <c r="A185" s="46" t="s">
        <v>261</v>
      </c>
      <c r="B185" s="49"/>
      <c r="C185" s="46" t="s">
        <v>262</v>
      </c>
      <c r="D185" s="48" t="s">
        <v>7</v>
      </c>
      <c r="E185" s="93">
        <v>42.75</v>
      </c>
      <c r="F185" s="93">
        <v>12.06</v>
      </c>
      <c r="G185" s="93">
        <f t="shared" si="100"/>
        <v>54.81</v>
      </c>
      <c r="H185" s="40">
        <f t="shared" si="101"/>
        <v>67.377933000000013</v>
      </c>
      <c r="I185" s="52">
        <v>3</v>
      </c>
      <c r="J185" s="31">
        <f t="shared" si="102"/>
        <v>202.13379900000004</v>
      </c>
    </row>
    <row r="186" spans="1:10">
      <c r="A186" s="50" t="s">
        <v>263</v>
      </c>
      <c r="B186" s="51" t="s">
        <v>264</v>
      </c>
      <c r="C186" s="50"/>
      <c r="D186" s="59"/>
      <c r="E186" s="60"/>
      <c r="F186" s="60"/>
      <c r="G186" s="60"/>
      <c r="H186" s="60"/>
      <c r="I186" s="60"/>
      <c r="J186" s="60"/>
    </row>
    <row r="187" spans="1:10">
      <c r="A187" s="46" t="s">
        <v>265</v>
      </c>
      <c r="B187" s="49"/>
      <c r="C187" s="46" t="s">
        <v>266</v>
      </c>
      <c r="D187" s="48" t="s">
        <v>7</v>
      </c>
      <c r="E187" s="93">
        <v>9.49</v>
      </c>
      <c r="F187" s="93">
        <v>13.71</v>
      </c>
      <c r="G187" s="93">
        <f t="shared" ref="G187" si="103">E187+F187</f>
        <v>23.200000000000003</v>
      </c>
      <c r="H187" s="40">
        <f t="shared" si="101"/>
        <v>28.519760000000005</v>
      </c>
      <c r="I187" s="52">
        <v>1</v>
      </c>
      <c r="J187" s="31">
        <f t="shared" si="102"/>
        <v>28.519760000000005</v>
      </c>
    </row>
    <row r="188" spans="1:10">
      <c r="A188" s="46" t="s">
        <v>267</v>
      </c>
      <c r="B188" s="49"/>
      <c r="C188" s="46" t="s">
        <v>268</v>
      </c>
      <c r="D188" s="48" t="s">
        <v>7</v>
      </c>
      <c r="E188" s="93">
        <v>87.2</v>
      </c>
      <c r="F188" s="93">
        <v>2.37</v>
      </c>
      <c r="G188" s="93">
        <f t="shared" ref="G188:G190" si="104">E188+F188</f>
        <v>89.570000000000007</v>
      </c>
      <c r="H188" s="40">
        <f t="shared" si="101"/>
        <v>110.10840100000001</v>
      </c>
      <c r="I188" s="52">
        <v>1</v>
      </c>
      <c r="J188" s="31">
        <f t="shared" si="102"/>
        <v>110.10840100000001</v>
      </c>
    </row>
    <row r="189" spans="1:10">
      <c r="A189" s="46" t="s">
        <v>269</v>
      </c>
      <c r="B189" s="49"/>
      <c r="C189" s="46" t="s">
        <v>270</v>
      </c>
      <c r="D189" s="48" t="s">
        <v>7</v>
      </c>
      <c r="E189" s="93">
        <v>28.57</v>
      </c>
      <c r="F189" s="93">
        <v>2.09</v>
      </c>
      <c r="G189" s="93">
        <f t="shared" si="104"/>
        <v>30.66</v>
      </c>
      <c r="H189" s="40">
        <f t="shared" si="101"/>
        <v>37.690338000000004</v>
      </c>
      <c r="I189" s="52">
        <v>1</v>
      </c>
      <c r="J189" s="31">
        <f t="shared" si="102"/>
        <v>37.690338000000004</v>
      </c>
    </row>
    <row r="190" spans="1:10">
      <c r="A190" s="46" t="s">
        <v>271</v>
      </c>
      <c r="B190" s="49"/>
      <c r="C190" s="46" t="s">
        <v>272</v>
      </c>
      <c r="D190" s="48" t="s">
        <v>7</v>
      </c>
      <c r="E190" s="93">
        <v>4.37</v>
      </c>
      <c r="F190" s="93">
        <v>5.83</v>
      </c>
      <c r="G190" s="93">
        <f t="shared" si="104"/>
        <v>10.199999999999999</v>
      </c>
      <c r="H190" s="40">
        <f t="shared" si="101"/>
        <v>12.53886</v>
      </c>
      <c r="I190" s="52">
        <v>1</v>
      </c>
      <c r="J190" s="31">
        <f t="shared" si="102"/>
        <v>12.53886</v>
      </c>
    </row>
    <row r="191" spans="1:10">
      <c r="A191" s="79"/>
      <c r="B191" s="49"/>
      <c r="C191" s="46"/>
      <c r="D191" s="48"/>
      <c r="E191" s="47"/>
      <c r="F191" s="47"/>
      <c r="G191" s="47"/>
      <c r="H191" s="5"/>
      <c r="I191" s="168" t="s">
        <v>18</v>
      </c>
      <c r="J191" s="169">
        <f>SUM(J175:J190)</f>
        <v>2230.9498667599996</v>
      </c>
    </row>
    <row r="192" spans="1:10">
      <c r="A192" s="61" t="s">
        <v>273</v>
      </c>
      <c r="B192" s="61" t="s">
        <v>274</v>
      </c>
      <c r="C192" s="62"/>
      <c r="D192" s="63"/>
      <c r="E192" s="64"/>
      <c r="F192" s="64"/>
      <c r="G192" s="64"/>
      <c r="H192" s="64"/>
      <c r="I192" s="64"/>
      <c r="J192" s="64"/>
    </row>
    <row r="193" spans="1:10">
      <c r="A193" s="65" t="s">
        <v>275</v>
      </c>
      <c r="B193" s="65" t="s">
        <v>276</v>
      </c>
      <c r="C193" s="66"/>
      <c r="D193" s="67"/>
      <c r="E193" s="68"/>
      <c r="F193" s="68"/>
      <c r="G193" s="68"/>
      <c r="H193" s="68"/>
      <c r="I193" s="68"/>
      <c r="J193" s="68"/>
    </row>
    <row r="194" spans="1:10" ht="25.5">
      <c r="A194" s="46" t="s">
        <v>277</v>
      </c>
      <c r="B194" s="49"/>
      <c r="C194" s="46" t="s">
        <v>278</v>
      </c>
      <c r="D194" s="48" t="s">
        <v>10</v>
      </c>
      <c r="E194" s="93">
        <v>4.0599999999999996</v>
      </c>
      <c r="F194" s="93">
        <v>17.149999999999999</v>
      </c>
      <c r="G194" s="93">
        <f>E194+F194</f>
        <v>21.209999999999997</v>
      </c>
      <c r="H194" s="40">
        <f t="shared" ref="H194:H196" si="105">G194*1.2293</f>
        <v>26.073452999999997</v>
      </c>
      <c r="I194" s="52">
        <v>50</v>
      </c>
      <c r="J194" s="31">
        <f t="shared" ref="J194:J196" si="106">H194*I194</f>
        <v>1303.6726499999997</v>
      </c>
    </row>
    <row r="195" spans="1:10">
      <c r="A195" s="50" t="s">
        <v>279</v>
      </c>
      <c r="B195" s="51" t="s">
        <v>280</v>
      </c>
      <c r="C195" s="50"/>
      <c r="D195" s="59"/>
      <c r="E195" s="60"/>
      <c r="F195" s="60"/>
      <c r="G195" s="60"/>
      <c r="H195" s="60"/>
      <c r="I195" s="60"/>
      <c r="J195" s="60"/>
    </row>
    <row r="196" spans="1:10" ht="25.5">
      <c r="A196" s="46" t="s">
        <v>281</v>
      </c>
      <c r="B196" s="49"/>
      <c r="C196" s="46" t="s">
        <v>282</v>
      </c>
      <c r="D196" s="48" t="s">
        <v>10</v>
      </c>
      <c r="E196" s="93">
        <v>19.73</v>
      </c>
      <c r="F196" s="93">
        <v>30.85</v>
      </c>
      <c r="G196" s="93">
        <f>E196+F196</f>
        <v>50.58</v>
      </c>
      <c r="H196" s="40">
        <f t="shared" si="105"/>
        <v>62.177993999999998</v>
      </c>
      <c r="I196" s="52">
        <v>6</v>
      </c>
      <c r="J196" s="31">
        <f t="shared" si="106"/>
        <v>373.06796399999996</v>
      </c>
    </row>
    <row r="197" spans="1:10">
      <c r="A197" s="50" t="s">
        <v>283</v>
      </c>
      <c r="B197" s="51" t="s">
        <v>284</v>
      </c>
      <c r="C197" s="50"/>
      <c r="D197" s="59"/>
      <c r="E197" s="60"/>
      <c r="F197" s="60"/>
      <c r="G197" s="60"/>
      <c r="H197" s="60"/>
      <c r="I197" s="60"/>
      <c r="J197" s="60"/>
    </row>
    <row r="198" spans="1:10" ht="25.5">
      <c r="A198" s="46" t="s">
        <v>285</v>
      </c>
      <c r="B198" s="49"/>
      <c r="C198" s="46" t="s">
        <v>286</v>
      </c>
      <c r="D198" s="48" t="s">
        <v>10</v>
      </c>
      <c r="E198" s="93">
        <v>19.760000000000002</v>
      </c>
      <c r="F198" s="93">
        <v>12.06</v>
      </c>
      <c r="G198" s="93">
        <f>E198+F198</f>
        <v>31.82</v>
      </c>
      <c r="H198" s="40">
        <f t="shared" ref="H198:H203" si="107">G198*1.2293</f>
        <v>39.116326000000001</v>
      </c>
      <c r="I198" s="52">
        <v>30</v>
      </c>
      <c r="J198" s="31">
        <f t="shared" ref="J198:J203" si="108">H198*I198</f>
        <v>1173.4897800000001</v>
      </c>
    </row>
    <row r="199" spans="1:10">
      <c r="A199" s="50" t="s">
        <v>287</v>
      </c>
      <c r="B199" s="51" t="s">
        <v>288</v>
      </c>
      <c r="C199" s="50"/>
      <c r="D199" s="59"/>
      <c r="E199" s="60"/>
      <c r="F199" s="60"/>
      <c r="G199" s="60"/>
      <c r="H199" s="60"/>
      <c r="I199" s="60"/>
      <c r="J199" s="60"/>
    </row>
    <row r="200" spans="1:10" ht="38.25">
      <c r="A200" s="46" t="s">
        <v>289</v>
      </c>
      <c r="B200" s="49"/>
      <c r="C200" s="46" t="s">
        <v>290</v>
      </c>
      <c r="D200" s="48" t="s">
        <v>10</v>
      </c>
      <c r="E200" s="93">
        <v>42.08</v>
      </c>
      <c r="F200" s="93">
        <v>12.06</v>
      </c>
      <c r="G200" s="93">
        <f>E200+F200</f>
        <v>54.14</v>
      </c>
      <c r="H200" s="40">
        <f t="shared" si="107"/>
        <v>66.554302000000007</v>
      </c>
      <c r="I200" s="52">
        <v>7</v>
      </c>
      <c r="J200" s="31">
        <f t="shared" si="108"/>
        <v>465.88011400000005</v>
      </c>
    </row>
    <row r="201" spans="1:10" ht="25.5">
      <c r="A201" s="46" t="s">
        <v>291</v>
      </c>
      <c r="B201" s="49"/>
      <c r="C201" s="46" t="s">
        <v>292</v>
      </c>
      <c r="D201" s="48" t="s">
        <v>7</v>
      </c>
      <c r="E201" s="93">
        <v>12.8</v>
      </c>
      <c r="F201" s="93">
        <v>12</v>
      </c>
      <c r="G201" s="93">
        <f t="shared" ref="G201:G203" si="109">E201+F201</f>
        <v>24.8</v>
      </c>
      <c r="H201" s="40">
        <f t="shared" si="107"/>
        <v>30.486640000000001</v>
      </c>
      <c r="I201" s="52">
        <v>4</v>
      </c>
      <c r="J201" s="31">
        <f t="shared" si="108"/>
        <v>121.94656000000001</v>
      </c>
    </row>
    <row r="202" spans="1:10" ht="25.5">
      <c r="A202" s="46" t="s">
        <v>293</v>
      </c>
      <c r="B202" s="49"/>
      <c r="C202" s="46" t="s">
        <v>294</v>
      </c>
      <c r="D202" s="48" t="s">
        <v>7</v>
      </c>
      <c r="E202" s="93">
        <v>13.63</v>
      </c>
      <c r="F202" s="93">
        <v>12</v>
      </c>
      <c r="G202" s="93">
        <f t="shared" si="109"/>
        <v>25.630000000000003</v>
      </c>
      <c r="H202" s="40">
        <f t="shared" si="107"/>
        <v>31.506959000000005</v>
      </c>
      <c r="I202" s="52">
        <v>2</v>
      </c>
      <c r="J202" s="31">
        <f t="shared" si="108"/>
        <v>63.013918000000011</v>
      </c>
    </row>
    <row r="203" spans="1:10" ht="25.5">
      <c r="A203" s="46" t="s">
        <v>295</v>
      </c>
      <c r="B203" s="49"/>
      <c r="C203" s="46" t="s">
        <v>296</v>
      </c>
      <c r="D203" s="48" t="s">
        <v>7</v>
      </c>
      <c r="E203" s="93">
        <v>36.69</v>
      </c>
      <c r="F203" s="93">
        <v>12</v>
      </c>
      <c r="G203" s="93">
        <f t="shared" si="109"/>
        <v>48.69</v>
      </c>
      <c r="H203" s="40">
        <f t="shared" si="107"/>
        <v>59.854616999999998</v>
      </c>
      <c r="I203" s="52">
        <v>1</v>
      </c>
      <c r="J203" s="31">
        <f t="shared" si="108"/>
        <v>59.854616999999998</v>
      </c>
    </row>
    <row r="204" spans="1:10">
      <c r="A204" s="79"/>
      <c r="B204" s="49"/>
      <c r="C204" s="46"/>
      <c r="D204" s="48"/>
      <c r="E204" s="47"/>
      <c r="F204" s="47"/>
      <c r="G204" s="47"/>
      <c r="H204" s="5"/>
      <c r="I204" s="168" t="s">
        <v>18</v>
      </c>
      <c r="J204" s="169">
        <f>SUM(J194:J203)</f>
        <v>3560.9256030000001</v>
      </c>
    </row>
    <row r="205" spans="1:10">
      <c r="A205" s="61" t="s">
        <v>297</v>
      </c>
      <c r="B205" s="61" t="s">
        <v>298</v>
      </c>
      <c r="C205" s="62"/>
      <c r="D205" s="63"/>
      <c r="E205" s="64"/>
      <c r="F205" s="64"/>
      <c r="G205" s="64"/>
      <c r="H205" s="64"/>
      <c r="I205" s="64"/>
      <c r="J205" s="64"/>
    </row>
    <row r="206" spans="1:10">
      <c r="A206" s="65" t="s">
        <v>299</v>
      </c>
      <c r="B206" s="65" t="s">
        <v>300</v>
      </c>
      <c r="C206" s="66"/>
      <c r="D206" s="67"/>
      <c r="E206" s="68"/>
      <c r="F206" s="68"/>
      <c r="G206" s="68"/>
      <c r="H206" s="68"/>
      <c r="I206" s="68"/>
      <c r="J206" s="68"/>
    </row>
    <row r="207" spans="1:10" ht="25.5">
      <c r="A207" s="46" t="s">
        <v>301</v>
      </c>
      <c r="B207" s="49"/>
      <c r="C207" s="46" t="s">
        <v>302</v>
      </c>
      <c r="D207" s="48" t="s">
        <v>7</v>
      </c>
      <c r="E207" s="93">
        <v>33.869999999999997</v>
      </c>
      <c r="F207" s="93">
        <v>20.56</v>
      </c>
      <c r="G207" s="93">
        <f>E207+F207</f>
        <v>54.429999999999993</v>
      </c>
      <c r="H207" s="40">
        <f t="shared" ref="H207" si="110">G207*1.2293</f>
        <v>66.910798999999997</v>
      </c>
      <c r="I207" s="52">
        <v>3</v>
      </c>
      <c r="J207" s="31">
        <f t="shared" ref="J207" si="111">H207*I207</f>
        <v>200.73239699999999</v>
      </c>
    </row>
    <row r="208" spans="1:10">
      <c r="A208" s="50" t="s">
        <v>303</v>
      </c>
      <c r="B208" s="51" t="s">
        <v>304</v>
      </c>
      <c r="C208" s="50"/>
      <c r="D208" s="59"/>
      <c r="E208" s="60"/>
      <c r="F208" s="60"/>
      <c r="G208" s="60"/>
      <c r="H208" s="60"/>
      <c r="I208" s="60"/>
      <c r="J208" s="60"/>
    </row>
    <row r="209" spans="1:12" ht="25.5">
      <c r="A209" s="46" t="s">
        <v>305</v>
      </c>
      <c r="B209" s="49"/>
      <c r="C209" s="46" t="s">
        <v>306</v>
      </c>
      <c r="D209" s="48" t="s">
        <v>7</v>
      </c>
      <c r="E209" s="93">
        <v>240.12</v>
      </c>
      <c r="F209" s="93">
        <v>51.42</v>
      </c>
      <c r="G209" s="93">
        <f>E209+F209</f>
        <v>291.54000000000002</v>
      </c>
      <c r="H209" s="40">
        <f t="shared" ref="H209" si="112">G209*1.2293</f>
        <v>358.39012200000002</v>
      </c>
      <c r="I209" s="52">
        <v>1</v>
      </c>
      <c r="J209" s="31">
        <f t="shared" ref="J209" si="113">H209*I209</f>
        <v>358.39012200000002</v>
      </c>
    </row>
    <row r="210" spans="1:12">
      <c r="A210" s="79"/>
      <c r="B210" s="49"/>
      <c r="C210" s="46"/>
      <c r="D210" s="48"/>
      <c r="E210" s="47"/>
      <c r="F210" s="47"/>
      <c r="G210" s="47"/>
      <c r="H210" s="5"/>
      <c r="I210" s="168" t="s">
        <v>18</v>
      </c>
      <c r="J210" s="169">
        <f>SUM(J207:J209)</f>
        <v>559.12251900000001</v>
      </c>
    </row>
    <row r="211" spans="1:12">
      <c r="A211" s="61" t="s">
        <v>307</v>
      </c>
      <c r="B211" s="61" t="s">
        <v>308</v>
      </c>
      <c r="C211" s="62"/>
      <c r="D211" s="63"/>
      <c r="E211" s="64"/>
      <c r="F211" s="64"/>
      <c r="G211" s="64"/>
      <c r="H211" s="64"/>
      <c r="I211" s="64"/>
      <c r="J211" s="64"/>
    </row>
    <row r="212" spans="1:12">
      <c r="A212" s="65" t="s">
        <v>309</v>
      </c>
      <c r="B212" s="65" t="s">
        <v>310</v>
      </c>
      <c r="C212" s="66"/>
      <c r="D212" s="67"/>
      <c r="E212" s="68"/>
      <c r="F212" s="68"/>
      <c r="G212" s="68"/>
      <c r="H212" s="68"/>
      <c r="I212" s="68"/>
      <c r="J212" s="68"/>
    </row>
    <row r="213" spans="1:12" ht="29.25" customHeight="1">
      <c r="A213" s="46" t="s">
        <v>385</v>
      </c>
      <c r="B213" s="49"/>
      <c r="C213" s="46" t="s">
        <v>386</v>
      </c>
      <c r="D213" s="48" t="s">
        <v>7</v>
      </c>
      <c r="E213" s="93">
        <v>417.25</v>
      </c>
      <c r="F213" s="93">
        <v>48.21</v>
      </c>
      <c r="G213" s="93">
        <f>E213+F213</f>
        <v>465.46</v>
      </c>
      <c r="H213" s="40">
        <f t="shared" ref="H213" si="114">G213*1.2293</f>
        <v>572.189978</v>
      </c>
      <c r="I213" s="52">
        <v>1</v>
      </c>
      <c r="J213" s="31">
        <f t="shared" ref="J213" si="115">H213*I213</f>
        <v>572.189978</v>
      </c>
    </row>
    <row r="214" spans="1:12">
      <c r="A214" s="50" t="s">
        <v>311</v>
      </c>
      <c r="B214" s="51" t="s">
        <v>312</v>
      </c>
      <c r="C214" s="50"/>
      <c r="D214" s="59"/>
      <c r="E214" s="60"/>
      <c r="F214" s="60"/>
      <c r="G214" s="60"/>
      <c r="H214" s="60"/>
      <c r="I214" s="60"/>
      <c r="J214" s="60"/>
    </row>
    <row r="215" spans="1:12">
      <c r="A215" s="46" t="s">
        <v>313</v>
      </c>
      <c r="B215" s="49"/>
      <c r="C215" s="46" t="s">
        <v>314</v>
      </c>
      <c r="D215" s="48" t="s">
        <v>7</v>
      </c>
      <c r="E215" s="93">
        <v>59.05</v>
      </c>
      <c r="F215" s="93">
        <v>10.29</v>
      </c>
      <c r="G215" s="93">
        <f>E215+F215</f>
        <v>69.34</v>
      </c>
      <c r="H215" s="40">
        <f t="shared" ref="H215" si="116">G215*1.2293</f>
        <v>85.23966200000001</v>
      </c>
      <c r="I215" s="52">
        <v>1</v>
      </c>
      <c r="J215" s="31">
        <f t="shared" ref="J215" si="117">H215*I215</f>
        <v>85.23966200000001</v>
      </c>
    </row>
    <row r="216" spans="1:12">
      <c r="A216" s="89"/>
      <c r="B216" s="90"/>
      <c r="C216" s="91"/>
      <c r="D216" s="92"/>
      <c r="E216" s="93"/>
      <c r="F216" s="93"/>
      <c r="G216" s="93"/>
      <c r="H216" s="5"/>
      <c r="I216" s="43" t="s">
        <v>18</v>
      </c>
      <c r="J216" s="44">
        <f>SUM(J213:J215)</f>
        <v>657.42964000000006</v>
      </c>
      <c r="L216" s="6"/>
    </row>
    <row r="217" spans="1:12">
      <c r="A217" s="28" t="s">
        <v>12</v>
      </c>
      <c r="B217" s="15" t="s">
        <v>13</v>
      </c>
      <c r="C217" s="16"/>
      <c r="D217" s="17"/>
      <c r="E217" s="17"/>
      <c r="F217" s="17"/>
      <c r="G217" s="17"/>
      <c r="H217" s="17"/>
      <c r="I217" s="17"/>
      <c r="J217" s="29"/>
    </row>
    <row r="218" spans="1:12">
      <c r="A218" s="50" t="s">
        <v>315</v>
      </c>
      <c r="B218" s="51" t="s">
        <v>316</v>
      </c>
      <c r="C218" s="50"/>
      <c r="D218" s="59"/>
      <c r="E218" s="60"/>
      <c r="F218" s="60"/>
      <c r="G218" s="60"/>
      <c r="H218" s="60"/>
      <c r="I218" s="60"/>
      <c r="J218" s="60"/>
    </row>
    <row r="219" spans="1:12">
      <c r="A219" s="46" t="s">
        <v>317</v>
      </c>
      <c r="B219" s="49"/>
      <c r="C219" s="46" t="s">
        <v>318</v>
      </c>
      <c r="D219" s="48" t="s">
        <v>7</v>
      </c>
      <c r="E219" s="93">
        <v>71.790000000000006</v>
      </c>
      <c r="F219" s="93">
        <v>155.04</v>
      </c>
      <c r="G219" s="93">
        <f>E219+F219</f>
        <v>226.82999999999998</v>
      </c>
      <c r="H219" s="40">
        <f t="shared" ref="H219:H221" si="118">G219*1.2293</f>
        <v>278.84211899999997</v>
      </c>
      <c r="I219" s="52">
        <v>1</v>
      </c>
      <c r="J219" s="31">
        <f t="shared" ref="J219:J221" si="119">I219*H219</f>
        <v>278.84211899999997</v>
      </c>
    </row>
    <row r="220" spans="1:12">
      <c r="A220" s="50" t="s">
        <v>319</v>
      </c>
      <c r="B220" s="51" t="s">
        <v>320</v>
      </c>
      <c r="C220" s="50"/>
      <c r="D220" s="59"/>
      <c r="E220" s="60"/>
      <c r="F220" s="60"/>
      <c r="G220" s="60"/>
      <c r="H220" s="60"/>
      <c r="I220" s="60"/>
      <c r="J220" s="60"/>
    </row>
    <row r="221" spans="1:12" ht="16.5" customHeight="1">
      <c r="A221" s="46" t="s">
        <v>321</v>
      </c>
      <c r="B221" s="49"/>
      <c r="C221" s="46" t="s">
        <v>322</v>
      </c>
      <c r="D221" s="48" t="s">
        <v>7</v>
      </c>
      <c r="E221" s="93">
        <v>20.309999999999999</v>
      </c>
      <c r="F221" s="93">
        <v>34.270000000000003</v>
      </c>
      <c r="G221" s="93">
        <f>E221+F221</f>
        <v>54.58</v>
      </c>
      <c r="H221" s="40">
        <f t="shared" si="118"/>
        <v>67.095194000000006</v>
      </c>
      <c r="I221" s="52">
        <v>1</v>
      </c>
      <c r="J221" s="31">
        <f t="shared" si="119"/>
        <v>67.095194000000006</v>
      </c>
    </row>
    <row r="222" spans="1:12">
      <c r="A222" s="50" t="s">
        <v>396</v>
      </c>
      <c r="B222" s="51" t="s">
        <v>398</v>
      </c>
      <c r="C222" s="101"/>
      <c r="D222" s="59"/>
      <c r="E222" s="60"/>
      <c r="F222" s="60"/>
      <c r="G222" s="60"/>
      <c r="H222" s="60"/>
      <c r="I222" s="60"/>
      <c r="J222" s="60"/>
    </row>
    <row r="223" spans="1:12" ht="25.5">
      <c r="A223" s="46" t="s">
        <v>397</v>
      </c>
      <c r="B223" s="96"/>
      <c r="C223" s="46" t="s">
        <v>395</v>
      </c>
      <c r="D223" s="48" t="s">
        <v>7</v>
      </c>
      <c r="E223" s="93">
        <v>1632.15</v>
      </c>
      <c r="F223" s="93">
        <v>1089.42</v>
      </c>
      <c r="G223" s="93">
        <f>E223+F223</f>
        <v>2721.57</v>
      </c>
      <c r="H223" s="173">
        <f t="shared" ref="H223:H225" si="120">G223*1.2293</f>
        <v>3345.6260010000005</v>
      </c>
      <c r="I223" s="171">
        <v>2</v>
      </c>
      <c r="J223" s="102">
        <f t="shared" ref="J223:J225" si="121">I223*H223</f>
        <v>6691.2520020000011</v>
      </c>
    </row>
    <row r="224" spans="1:12">
      <c r="A224" s="79" t="s">
        <v>400</v>
      </c>
      <c r="B224" s="96"/>
      <c r="C224" s="46" t="s">
        <v>399</v>
      </c>
      <c r="D224" s="48" t="s">
        <v>10</v>
      </c>
      <c r="E224" s="93">
        <v>842.94</v>
      </c>
      <c r="F224" s="93">
        <v>541.6</v>
      </c>
      <c r="G224" s="93">
        <f t="shared" ref="G224:G225" si="122">E224+F224</f>
        <v>1384.54</v>
      </c>
      <c r="H224" s="173">
        <f t="shared" si="120"/>
        <v>1702.015022</v>
      </c>
      <c r="I224" s="171">
        <v>2.5</v>
      </c>
      <c r="J224" s="102">
        <f t="shared" si="121"/>
        <v>4255.0375549999999</v>
      </c>
    </row>
    <row r="225" spans="1:10" ht="25.5">
      <c r="A225" s="79" t="s">
        <v>401</v>
      </c>
      <c r="B225" s="96"/>
      <c r="C225" s="46" t="s">
        <v>402</v>
      </c>
      <c r="D225" s="48" t="s">
        <v>7</v>
      </c>
      <c r="E225" s="93">
        <v>433.7</v>
      </c>
      <c r="F225" s="93">
        <v>30.91</v>
      </c>
      <c r="G225" s="93">
        <f t="shared" si="122"/>
        <v>464.61</v>
      </c>
      <c r="H225" s="173">
        <f t="shared" si="120"/>
        <v>571.14507300000002</v>
      </c>
      <c r="I225" s="171">
        <v>3</v>
      </c>
      <c r="J225" s="102">
        <f t="shared" si="121"/>
        <v>1713.435219</v>
      </c>
    </row>
    <row r="226" spans="1:10" ht="15.75" thickBot="1">
      <c r="A226" s="79"/>
      <c r="B226" s="49"/>
      <c r="C226" s="46"/>
      <c r="D226" s="48"/>
      <c r="E226" s="47"/>
      <c r="F226" s="47"/>
      <c r="G226" s="174"/>
      <c r="H226" s="175"/>
      <c r="I226" s="176" t="s">
        <v>18</v>
      </c>
      <c r="J226" s="177">
        <f>SUM(J218:J225)</f>
        <v>13005.662089000001</v>
      </c>
    </row>
    <row r="227" spans="1:10" ht="19.5" thickBot="1">
      <c r="G227" s="178" t="s">
        <v>19</v>
      </c>
      <c r="H227" s="179"/>
      <c r="I227" s="180"/>
      <c r="J227" s="181">
        <f>J226+J216+J210+J204+J191+J172+J168+J163+J155+J143+J132+J125+J116+J112+J100+J96+J92+J86+J80+J76+J72+J65+J60+J54+J50+J46+J41+J30+J26+J20+J14</f>
        <v>114649.88983659048</v>
      </c>
    </row>
    <row r="228" spans="1:10" ht="36" customHeight="1">
      <c r="C228" s="20"/>
    </row>
    <row r="229" spans="1:10" ht="63.75" customHeight="1">
      <c r="C229" s="94" t="s">
        <v>326</v>
      </c>
      <c r="D229" s="95"/>
      <c r="E229" s="95"/>
      <c r="F229" s="130" t="s">
        <v>327</v>
      </c>
      <c r="G229" s="130"/>
      <c r="H229" s="130"/>
      <c r="I229" s="130"/>
    </row>
    <row r="230" spans="1:10">
      <c r="C230" s="94" t="s">
        <v>412</v>
      </c>
      <c r="D230" s="95"/>
      <c r="E230" s="95"/>
      <c r="F230" s="130" t="s">
        <v>328</v>
      </c>
      <c r="G230" s="130"/>
      <c r="H230" s="130"/>
      <c r="I230" s="130"/>
    </row>
    <row r="231" spans="1:10">
      <c r="C231" s="37"/>
      <c r="G231" s="130"/>
      <c r="H231" s="130"/>
      <c r="I231" s="130"/>
    </row>
  </sheetData>
  <mergeCells count="15">
    <mergeCell ref="F229:I229"/>
    <mergeCell ref="F230:I230"/>
    <mergeCell ref="A14:G14"/>
    <mergeCell ref="G231:I231"/>
    <mergeCell ref="A1:J1"/>
    <mergeCell ref="A2:J2"/>
    <mergeCell ref="A3:J3"/>
    <mergeCell ref="A4:J4"/>
    <mergeCell ref="A5:J5"/>
    <mergeCell ref="A6:B6"/>
    <mergeCell ref="D6:F6"/>
    <mergeCell ref="I6:J6"/>
    <mergeCell ref="G227:I227"/>
    <mergeCell ref="A7:J7"/>
    <mergeCell ref="A41:G41"/>
  </mergeCells>
  <pageMargins left="0.25" right="0.25" top="0.75" bottom="0.75" header="0.3" footer="0.3"/>
  <pageSetup paperSize="9" orientation="landscape" verticalDpi="0" r:id="rId1"/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workbookViewId="0">
      <selection activeCell="N76" sqref="N76"/>
    </sheetView>
  </sheetViews>
  <sheetFormatPr defaultRowHeight="15"/>
  <cols>
    <col min="1" max="1" width="4.28515625" customWidth="1"/>
    <col min="2" max="2" width="53" customWidth="1"/>
    <col min="3" max="3" width="11.85546875" customWidth="1"/>
    <col min="5" max="5" width="7.42578125" customWidth="1"/>
    <col min="6" max="6" width="8.7109375" customWidth="1"/>
    <col min="7" max="7" width="8.140625" customWidth="1"/>
    <col min="8" max="8" width="10.28515625" customWidth="1"/>
    <col min="9" max="9" width="10.140625" bestFit="1" customWidth="1"/>
    <col min="10" max="10" width="10.28515625" customWidth="1"/>
    <col min="11" max="11" width="11.5703125" customWidth="1"/>
    <col min="12" max="12" width="12" customWidth="1"/>
    <col min="13" max="14" width="11.7109375" customWidth="1"/>
    <col min="15" max="15" width="12" customWidth="1"/>
  </cols>
  <sheetData>
    <row r="1" spans="1:15" ht="60" customHeight="1">
      <c r="A1" s="133" t="s">
        <v>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>
      <c r="A2" s="135" t="s">
        <v>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>
      <c r="A3" s="137" t="s">
        <v>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>
      <c r="A4" s="152" t="s">
        <v>27</v>
      </c>
      <c r="B4" s="153"/>
      <c r="C4" s="153"/>
      <c r="D4" s="7"/>
      <c r="E4" s="7"/>
      <c r="F4" s="7"/>
      <c r="G4" s="7"/>
      <c r="H4" s="150" t="s">
        <v>20</v>
      </c>
      <c r="I4" s="151"/>
      <c r="J4" s="151"/>
      <c r="K4" s="151"/>
      <c r="L4" s="151"/>
      <c r="M4" s="151"/>
      <c r="N4" s="151"/>
      <c r="O4" s="151"/>
    </row>
    <row r="5" spans="1:15">
      <c r="A5" s="152"/>
      <c r="B5" s="153"/>
      <c r="C5" s="153"/>
      <c r="D5" s="11" t="s">
        <v>21</v>
      </c>
      <c r="E5" s="12" t="s">
        <v>22</v>
      </c>
      <c r="F5" s="12" t="s">
        <v>23</v>
      </c>
      <c r="G5" s="12" t="s">
        <v>28</v>
      </c>
      <c r="H5" s="13">
        <v>1</v>
      </c>
      <c r="I5" s="13">
        <f>H5+1</f>
        <v>2</v>
      </c>
      <c r="J5" s="13">
        <f t="shared" ref="J5:O5" si="0">I5+1</f>
        <v>3</v>
      </c>
      <c r="K5" s="13">
        <f t="shared" si="0"/>
        <v>4</v>
      </c>
      <c r="L5" s="13">
        <f t="shared" si="0"/>
        <v>5</v>
      </c>
      <c r="M5" s="13">
        <f t="shared" si="0"/>
        <v>6</v>
      </c>
      <c r="N5" s="13">
        <f t="shared" si="0"/>
        <v>7</v>
      </c>
      <c r="O5" s="13">
        <f t="shared" si="0"/>
        <v>8</v>
      </c>
    </row>
    <row r="6" spans="1:15" ht="39.75" customHeight="1">
      <c r="A6" s="139" t="str">
        <f>PPU!A5</f>
        <v xml:space="preserve">Construção de uma residência na área das antenas no Município de Pirajuí </v>
      </c>
      <c r="B6" s="140"/>
      <c r="C6" s="140"/>
      <c r="D6" s="25">
        <v>8</v>
      </c>
      <c r="E6" s="25">
        <v>1</v>
      </c>
      <c r="F6" s="26">
        <v>8</v>
      </c>
      <c r="G6" s="27"/>
      <c r="H6" s="14">
        <f t="shared" ref="H6:O7" si="1">IF(AND($E6&lt;=H$5,$F6&gt;=H$5)=TRUE,1,0)</f>
        <v>1</v>
      </c>
      <c r="I6" s="14">
        <f t="shared" si="1"/>
        <v>1</v>
      </c>
      <c r="J6" s="14">
        <f t="shared" si="1"/>
        <v>1</v>
      </c>
      <c r="K6" s="14">
        <f t="shared" si="1"/>
        <v>1</v>
      </c>
      <c r="L6" s="14">
        <f t="shared" si="1"/>
        <v>1</v>
      </c>
      <c r="M6" s="14">
        <f t="shared" si="1"/>
        <v>1</v>
      </c>
      <c r="N6" s="14">
        <f t="shared" si="1"/>
        <v>1</v>
      </c>
      <c r="O6" s="14">
        <f t="shared" si="1"/>
        <v>1</v>
      </c>
    </row>
    <row r="7" spans="1:15">
      <c r="A7" s="141" t="s">
        <v>24</v>
      </c>
      <c r="B7" s="141"/>
      <c r="C7" s="142"/>
      <c r="D7" s="145">
        <v>8</v>
      </c>
      <c r="E7" s="147">
        <f>MIN(E9:E20)</f>
        <v>1</v>
      </c>
      <c r="F7" s="147">
        <v>8</v>
      </c>
      <c r="G7" s="148"/>
      <c r="H7" s="8">
        <f t="shared" si="1"/>
        <v>1</v>
      </c>
      <c r="I7" s="8">
        <f t="shared" si="1"/>
        <v>1</v>
      </c>
      <c r="J7" s="8">
        <f t="shared" si="1"/>
        <v>1</v>
      </c>
      <c r="K7" s="8">
        <f t="shared" si="1"/>
        <v>1</v>
      </c>
      <c r="L7" s="8">
        <f t="shared" si="1"/>
        <v>1</v>
      </c>
      <c r="M7" s="8">
        <f t="shared" si="1"/>
        <v>1</v>
      </c>
      <c r="N7" s="8">
        <f t="shared" si="1"/>
        <v>1</v>
      </c>
      <c r="O7" s="8">
        <f t="shared" si="1"/>
        <v>1</v>
      </c>
    </row>
    <row r="8" spans="1:15">
      <c r="A8" s="143"/>
      <c r="B8" s="143"/>
      <c r="C8" s="144"/>
      <c r="D8" s="146"/>
      <c r="E8" s="146"/>
      <c r="F8" s="146"/>
      <c r="G8" s="149"/>
      <c r="H8" s="8"/>
      <c r="I8" s="8"/>
      <c r="J8" s="8"/>
      <c r="K8" s="8"/>
      <c r="L8" s="8"/>
      <c r="M8" s="8"/>
      <c r="N8" s="8"/>
      <c r="O8" s="8"/>
    </row>
    <row r="9" spans="1:15">
      <c r="A9" s="154">
        <v>1</v>
      </c>
      <c r="B9" s="159" t="str">
        <f>PPU!B9</f>
        <v>INÍCIO, APOIO E ADMINISTRAÇÃO DA OBRA</v>
      </c>
      <c r="C9" s="155">
        <f>PPU!J14</f>
        <v>4563.5058040000004</v>
      </c>
      <c r="D9" s="157">
        <f>F9-E9+1</f>
        <v>1</v>
      </c>
      <c r="E9" s="158">
        <v>1</v>
      </c>
      <c r="F9" s="158">
        <v>1</v>
      </c>
      <c r="G9" s="9" t="s">
        <v>20</v>
      </c>
      <c r="H9" s="10">
        <f t="shared" ref="H9:O9" si="2">IF(IF(AND($E9&lt;=H$5,$F9&gt;=H$5)=TRUE,1,0)=1,$C9/$D9,0)</f>
        <v>4563.5058040000004</v>
      </c>
      <c r="I9" s="10">
        <f t="shared" si="2"/>
        <v>0</v>
      </c>
      <c r="J9" s="10">
        <f t="shared" si="2"/>
        <v>0</v>
      </c>
      <c r="K9" s="10">
        <f t="shared" si="2"/>
        <v>0</v>
      </c>
      <c r="L9" s="10">
        <f t="shared" si="2"/>
        <v>0</v>
      </c>
      <c r="M9" s="10">
        <f t="shared" si="2"/>
        <v>0</v>
      </c>
      <c r="N9" s="10">
        <f t="shared" si="2"/>
        <v>0</v>
      </c>
      <c r="O9" s="10">
        <f t="shared" si="2"/>
        <v>0</v>
      </c>
    </row>
    <row r="10" spans="1:15">
      <c r="A10" s="154"/>
      <c r="B10" s="160"/>
      <c r="C10" s="156"/>
      <c r="D10" s="154"/>
      <c r="E10" s="154"/>
      <c r="F10" s="154"/>
      <c r="G10" s="9" t="s">
        <v>25</v>
      </c>
      <c r="H10" s="10">
        <f>IF(H9&gt;0,H9,0)</f>
        <v>4563.5058040000004</v>
      </c>
      <c r="I10" s="10">
        <f>IF(I9&gt;0,I9+H10,0)</f>
        <v>0</v>
      </c>
      <c r="J10" s="10">
        <f t="shared" ref="J10:O10" si="3">IF(J9&gt;0,J9+I10,0)</f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</row>
    <row r="11" spans="1:15">
      <c r="A11" s="154">
        <v>2</v>
      </c>
      <c r="B11" s="159" t="str">
        <f>PPU!B15</f>
        <v>FORMA</v>
      </c>
      <c r="C11" s="155">
        <f>PPU!J20</f>
        <v>2378.4742259999998</v>
      </c>
      <c r="D11" s="157">
        <f t="shared" ref="D11" si="4">F11-E11+1</f>
        <v>3</v>
      </c>
      <c r="E11" s="158">
        <v>1</v>
      </c>
      <c r="F11" s="158">
        <v>3</v>
      </c>
      <c r="G11" s="9" t="s">
        <v>20</v>
      </c>
      <c r="H11" s="10">
        <f t="shared" ref="H11:O11" si="5">IF(IF(AND($E11&lt;=H$5,$F11&gt;=H$5)=TRUE,1,0)=1,$C11/$D11,0)</f>
        <v>792.8247419999999</v>
      </c>
      <c r="I11" s="10">
        <f t="shared" si="5"/>
        <v>792.8247419999999</v>
      </c>
      <c r="J11" s="10">
        <f t="shared" si="5"/>
        <v>792.8247419999999</v>
      </c>
      <c r="K11" s="10">
        <f t="shared" si="5"/>
        <v>0</v>
      </c>
      <c r="L11" s="10">
        <f t="shared" si="5"/>
        <v>0</v>
      </c>
      <c r="M11" s="10">
        <f t="shared" si="5"/>
        <v>0</v>
      </c>
      <c r="N11" s="10">
        <f t="shared" si="5"/>
        <v>0</v>
      </c>
      <c r="O11" s="10">
        <f t="shared" si="5"/>
        <v>0</v>
      </c>
    </row>
    <row r="12" spans="1:15">
      <c r="A12" s="154"/>
      <c r="B12" s="160"/>
      <c r="C12" s="156"/>
      <c r="D12" s="154"/>
      <c r="E12" s="154"/>
      <c r="F12" s="154"/>
      <c r="G12" s="9" t="s">
        <v>25</v>
      </c>
      <c r="H12" s="10">
        <f>IF(H11&gt;0,H11,0)</f>
        <v>792.8247419999999</v>
      </c>
      <c r="I12" s="10">
        <f>IF(I11&gt;0,I11+H12,0)</f>
        <v>1585.6494839999998</v>
      </c>
      <c r="J12" s="10">
        <f t="shared" ref="J12:O12" si="6">IF(J11&gt;0,J11+I12,0)</f>
        <v>2378.4742259999998</v>
      </c>
      <c r="K12" s="10">
        <f t="shared" si="6"/>
        <v>0</v>
      </c>
      <c r="L12" s="10">
        <f t="shared" si="6"/>
        <v>0</v>
      </c>
      <c r="M12" s="10">
        <f t="shared" si="6"/>
        <v>0</v>
      </c>
      <c r="N12" s="10">
        <f t="shared" si="6"/>
        <v>0</v>
      </c>
      <c r="O12" s="10">
        <f t="shared" si="6"/>
        <v>0</v>
      </c>
    </row>
    <row r="13" spans="1:15">
      <c r="A13" s="154">
        <v>3</v>
      </c>
      <c r="B13" s="159" t="str">
        <f>PPU!B21</f>
        <v>ARMADURA E CORDOALHA ESTRUTURAL</v>
      </c>
      <c r="C13" s="155">
        <f>PPU!J26</f>
        <v>10189.531247699999</v>
      </c>
      <c r="D13" s="157">
        <f t="shared" ref="D13" si="7">F13-E13+1</f>
        <v>4</v>
      </c>
      <c r="E13" s="158">
        <v>1</v>
      </c>
      <c r="F13" s="158">
        <v>4</v>
      </c>
      <c r="G13" s="9" t="s">
        <v>20</v>
      </c>
      <c r="H13" s="10">
        <f t="shared" ref="H13:O13" si="8">IF(IF(AND($E13&lt;=H$5,$F13&gt;=H$5)=TRUE,1,0)=1,$C13/$D13,0)</f>
        <v>2547.3828119249997</v>
      </c>
      <c r="I13" s="10">
        <f t="shared" si="8"/>
        <v>2547.3828119249997</v>
      </c>
      <c r="J13" s="10">
        <f t="shared" si="8"/>
        <v>2547.3828119249997</v>
      </c>
      <c r="K13" s="10">
        <f t="shared" si="8"/>
        <v>2547.3828119249997</v>
      </c>
      <c r="L13" s="10">
        <f t="shared" si="8"/>
        <v>0</v>
      </c>
      <c r="M13" s="10">
        <f t="shared" si="8"/>
        <v>0</v>
      </c>
      <c r="N13" s="10">
        <f t="shared" si="8"/>
        <v>0</v>
      </c>
      <c r="O13" s="10">
        <f t="shared" si="8"/>
        <v>0</v>
      </c>
    </row>
    <row r="14" spans="1:15">
      <c r="A14" s="154"/>
      <c r="B14" s="160"/>
      <c r="C14" s="156"/>
      <c r="D14" s="154"/>
      <c r="E14" s="154"/>
      <c r="F14" s="154"/>
      <c r="G14" s="9" t="s">
        <v>25</v>
      </c>
      <c r="H14" s="10">
        <f>IF(H13&gt;0,H13,0)</f>
        <v>2547.3828119249997</v>
      </c>
      <c r="I14" s="10">
        <f>IF(I13&gt;0,I13+H14,0)</f>
        <v>5094.7656238499994</v>
      </c>
      <c r="J14" s="10">
        <f t="shared" ref="J14:O14" si="9">IF(J13&gt;0,J13+I14,0)</f>
        <v>7642.1484357749996</v>
      </c>
      <c r="K14" s="10">
        <f t="shared" si="9"/>
        <v>10189.531247699999</v>
      </c>
      <c r="L14" s="10">
        <f t="shared" si="9"/>
        <v>0</v>
      </c>
      <c r="M14" s="10">
        <f t="shared" si="9"/>
        <v>0</v>
      </c>
      <c r="N14" s="10">
        <f t="shared" si="9"/>
        <v>0</v>
      </c>
      <c r="O14" s="10">
        <f t="shared" si="9"/>
        <v>0</v>
      </c>
    </row>
    <row r="15" spans="1:15">
      <c r="A15" s="154">
        <v>4</v>
      </c>
      <c r="B15" s="159" t="str">
        <f>PPU!B27</f>
        <v>FUNDAÇÃO PROFUNDA</v>
      </c>
      <c r="C15" s="155">
        <f>PPU!J30</f>
        <v>4698.7533900000008</v>
      </c>
      <c r="D15" s="157">
        <f t="shared" ref="D15" si="10">F15-E15+1</f>
        <v>2</v>
      </c>
      <c r="E15" s="158">
        <v>1</v>
      </c>
      <c r="F15" s="158">
        <v>2</v>
      </c>
      <c r="G15" s="9" t="s">
        <v>20</v>
      </c>
      <c r="H15" s="10">
        <f t="shared" ref="H15:O15" si="11">IF(IF(AND($E15&lt;=H$5,$F15&gt;=H$5)=TRUE,1,0)=1,$C15/$D15,0)</f>
        <v>2349.3766950000004</v>
      </c>
      <c r="I15" s="10">
        <f t="shared" si="11"/>
        <v>2349.3766950000004</v>
      </c>
      <c r="J15" s="10">
        <f t="shared" si="11"/>
        <v>0</v>
      </c>
      <c r="K15" s="10">
        <f t="shared" si="11"/>
        <v>0</v>
      </c>
      <c r="L15" s="10">
        <f t="shared" si="11"/>
        <v>0</v>
      </c>
      <c r="M15" s="10">
        <f t="shared" si="11"/>
        <v>0</v>
      </c>
      <c r="N15" s="10">
        <f t="shared" si="11"/>
        <v>0</v>
      </c>
      <c r="O15" s="10">
        <f t="shared" si="11"/>
        <v>0</v>
      </c>
    </row>
    <row r="16" spans="1:15">
      <c r="A16" s="154"/>
      <c r="B16" s="160"/>
      <c r="C16" s="156"/>
      <c r="D16" s="154"/>
      <c r="E16" s="154"/>
      <c r="F16" s="154"/>
      <c r="G16" s="9" t="s">
        <v>25</v>
      </c>
      <c r="H16" s="10">
        <f>IF(H15&gt;0,H15,0)</f>
        <v>2349.3766950000004</v>
      </c>
      <c r="I16" s="10">
        <f>IF(I15&gt;0,I15+H16,0)</f>
        <v>4698.7533900000008</v>
      </c>
      <c r="J16" s="10">
        <f t="shared" ref="J16:O16" si="12">IF(J15&gt;0,J15+I16,0)</f>
        <v>0</v>
      </c>
      <c r="K16" s="10">
        <f t="shared" si="12"/>
        <v>0</v>
      </c>
      <c r="L16" s="10">
        <f t="shared" si="12"/>
        <v>0</v>
      </c>
      <c r="M16" s="10">
        <f t="shared" si="12"/>
        <v>0</v>
      </c>
      <c r="N16" s="10">
        <f t="shared" si="12"/>
        <v>0</v>
      </c>
      <c r="O16" s="10">
        <f t="shared" si="12"/>
        <v>0</v>
      </c>
    </row>
    <row r="17" spans="1:15">
      <c r="A17" s="154">
        <v>5</v>
      </c>
      <c r="B17" s="159" t="str">
        <f>PPU!B31</f>
        <v>CONCRETO, MASSA E LASTRO</v>
      </c>
      <c r="C17" s="155">
        <f>PPU!J41</f>
        <v>9902.0594595644598</v>
      </c>
      <c r="D17" s="157">
        <f>F17-E17+1</f>
        <v>5</v>
      </c>
      <c r="E17" s="158">
        <v>1</v>
      </c>
      <c r="F17" s="158">
        <v>5</v>
      </c>
      <c r="G17" s="9" t="s">
        <v>20</v>
      </c>
      <c r="H17" s="10">
        <f t="shared" ref="H17:O17" si="13">IF(IF(AND($E17&lt;=H$5,$F17&gt;=H$5)=TRUE,1,0)=1,$C17/$D17,0)</f>
        <v>1980.4118919128919</v>
      </c>
      <c r="I17" s="10">
        <f t="shared" si="13"/>
        <v>1980.4118919128919</v>
      </c>
      <c r="J17" s="10">
        <f t="shared" si="13"/>
        <v>1980.4118919128919</v>
      </c>
      <c r="K17" s="10">
        <f t="shared" si="13"/>
        <v>1980.4118919128919</v>
      </c>
      <c r="L17" s="10">
        <f t="shared" si="13"/>
        <v>1980.4118919128919</v>
      </c>
      <c r="M17" s="10">
        <f t="shared" si="13"/>
        <v>0</v>
      </c>
      <c r="N17" s="10">
        <f t="shared" si="13"/>
        <v>0</v>
      </c>
      <c r="O17" s="10">
        <f t="shared" si="13"/>
        <v>0</v>
      </c>
    </row>
    <row r="18" spans="1:15">
      <c r="A18" s="154"/>
      <c r="B18" s="160"/>
      <c r="C18" s="156"/>
      <c r="D18" s="154"/>
      <c r="E18" s="154"/>
      <c r="F18" s="154"/>
      <c r="G18" s="9" t="s">
        <v>25</v>
      </c>
      <c r="H18" s="10">
        <f>IF(H17&gt;0,H17,0)</f>
        <v>1980.4118919128919</v>
      </c>
      <c r="I18" s="10">
        <f>IF(I17&gt;0,I17+H18,0)</f>
        <v>3960.8237838257837</v>
      </c>
      <c r="J18" s="10">
        <f t="shared" ref="J18:O18" si="14">IF(J17&gt;0,J17+I18,0)</f>
        <v>5941.2356757386751</v>
      </c>
      <c r="K18" s="10">
        <f t="shared" si="14"/>
        <v>7921.6475676515674</v>
      </c>
      <c r="L18" s="10">
        <f t="shared" si="14"/>
        <v>9902.0594595644598</v>
      </c>
      <c r="M18" s="10">
        <f t="shared" si="14"/>
        <v>0</v>
      </c>
      <c r="N18" s="10">
        <f t="shared" si="14"/>
        <v>0</v>
      </c>
      <c r="O18" s="10">
        <f t="shared" si="14"/>
        <v>0</v>
      </c>
    </row>
    <row r="19" spans="1:15">
      <c r="A19" s="154">
        <v>7</v>
      </c>
      <c r="B19" s="159" t="str">
        <f>PPU!B42</f>
        <v>ALVENARIA E ELEMENTO DIVISOR</v>
      </c>
      <c r="C19" s="155">
        <f>PPU!J46</f>
        <v>10057.084498820002</v>
      </c>
      <c r="D19" s="157">
        <f t="shared" ref="D19" si="15">F19-E19+1</f>
        <v>2</v>
      </c>
      <c r="E19" s="158">
        <v>3</v>
      </c>
      <c r="F19" s="158">
        <v>4</v>
      </c>
      <c r="G19" s="9" t="s">
        <v>20</v>
      </c>
      <c r="H19" s="10">
        <f t="shared" ref="H19:O69" si="16">IF(IF(AND($E19&lt;=H$5,$F19&gt;=H$5)=TRUE,1,0)=1,$C19/$D19,0)</f>
        <v>0</v>
      </c>
      <c r="I19" s="10">
        <f t="shared" si="16"/>
        <v>0</v>
      </c>
      <c r="J19" s="10">
        <f t="shared" si="16"/>
        <v>5028.5422494100012</v>
      </c>
      <c r="K19" s="10">
        <f t="shared" si="16"/>
        <v>5028.5422494100012</v>
      </c>
      <c r="L19" s="10">
        <f t="shared" si="16"/>
        <v>0</v>
      </c>
      <c r="M19" s="10">
        <f t="shared" si="16"/>
        <v>0</v>
      </c>
      <c r="N19" s="10">
        <f t="shared" si="16"/>
        <v>0</v>
      </c>
      <c r="O19" s="10">
        <f t="shared" si="16"/>
        <v>0</v>
      </c>
    </row>
    <row r="20" spans="1:15">
      <c r="A20" s="154"/>
      <c r="B20" s="160"/>
      <c r="C20" s="156"/>
      <c r="D20" s="154"/>
      <c r="E20" s="154"/>
      <c r="F20" s="154"/>
      <c r="G20" s="9" t="s">
        <v>25</v>
      </c>
      <c r="H20" s="10">
        <f>IF(H19&gt;0,H19,0)</f>
        <v>0</v>
      </c>
      <c r="I20" s="10">
        <f>IF(I19&gt;0,I19+H20,0)</f>
        <v>0</v>
      </c>
      <c r="J20" s="10">
        <f t="shared" ref="J20:O20" si="17">IF(J19&gt;0,J19+I20,0)</f>
        <v>5028.5422494100012</v>
      </c>
      <c r="K20" s="10">
        <f t="shared" si="17"/>
        <v>10057.084498820002</v>
      </c>
      <c r="L20" s="10">
        <f t="shared" si="17"/>
        <v>0</v>
      </c>
      <c r="M20" s="10">
        <f t="shared" si="17"/>
        <v>0</v>
      </c>
      <c r="N20" s="10">
        <f t="shared" si="17"/>
        <v>0</v>
      </c>
      <c r="O20" s="10">
        <f t="shared" si="17"/>
        <v>0</v>
      </c>
    </row>
    <row r="21" spans="1:15">
      <c r="A21" s="154">
        <v>8</v>
      </c>
      <c r="B21" s="159" t="str">
        <f>PPU!B47</f>
        <v>LAJE E PAINEL DE FECHAMENTO PRÉ-FABRICADOS</v>
      </c>
      <c r="C21" s="155">
        <f>PPU!J50</f>
        <v>5551.2967392480004</v>
      </c>
      <c r="D21" s="157">
        <f t="shared" ref="D21" si="18">F21-E21+1</f>
        <v>2</v>
      </c>
      <c r="E21" s="158">
        <v>4</v>
      </c>
      <c r="F21" s="158">
        <v>5</v>
      </c>
      <c r="G21" s="9" t="s">
        <v>20</v>
      </c>
      <c r="H21" s="10">
        <f t="shared" si="16"/>
        <v>0</v>
      </c>
      <c r="I21" s="10">
        <f t="shared" si="16"/>
        <v>0</v>
      </c>
      <c r="J21" s="10">
        <f t="shared" si="16"/>
        <v>0</v>
      </c>
      <c r="K21" s="10">
        <f t="shared" si="16"/>
        <v>2775.6483696240002</v>
      </c>
      <c r="L21" s="10">
        <f t="shared" si="16"/>
        <v>2775.6483696240002</v>
      </c>
      <c r="M21" s="10">
        <f t="shared" si="16"/>
        <v>0</v>
      </c>
      <c r="N21" s="10">
        <f t="shared" si="16"/>
        <v>0</v>
      </c>
      <c r="O21" s="10">
        <f t="shared" si="16"/>
        <v>0</v>
      </c>
    </row>
    <row r="22" spans="1:15">
      <c r="A22" s="154"/>
      <c r="B22" s="160"/>
      <c r="C22" s="156"/>
      <c r="D22" s="154"/>
      <c r="E22" s="154"/>
      <c r="F22" s="154"/>
      <c r="G22" s="9" t="s">
        <v>25</v>
      </c>
      <c r="H22" s="10">
        <f>IF(H21&gt;0,H21,0)</f>
        <v>0</v>
      </c>
      <c r="I22" s="10">
        <f>IF(I21&gt;0,I21+H22,0)</f>
        <v>0</v>
      </c>
      <c r="J22" s="10">
        <f t="shared" ref="J22" si="19">IF(J21&gt;0,J21+I22,0)</f>
        <v>0</v>
      </c>
      <c r="K22" s="10">
        <f t="shared" ref="K22" si="20">IF(K21&gt;0,K21+J22,0)</f>
        <v>2775.6483696240002</v>
      </c>
      <c r="L22" s="10">
        <f t="shared" ref="L22" si="21">IF(L21&gt;0,L21+K22,0)</f>
        <v>5551.2967392480004</v>
      </c>
      <c r="M22" s="10">
        <f t="shared" ref="M22" si="22">IF(M21&gt;0,M21+L22,0)</f>
        <v>0</v>
      </c>
      <c r="N22" s="10">
        <f t="shared" ref="N22" si="23">IF(N21&gt;0,N21+M22,0)</f>
        <v>0</v>
      </c>
      <c r="O22" s="10">
        <f t="shared" ref="O22" si="24">IF(O21&gt;0,O21+N22,0)</f>
        <v>0</v>
      </c>
    </row>
    <row r="23" spans="1:15">
      <c r="A23" s="154">
        <v>9</v>
      </c>
      <c r="B23" s="159" t="str">
        <f>PPU!B51</f>
        <v>ESTRUTURA EM MADEIRA, FERRO, ALUMÍNIO E CONCRETO</v>
      </c>
      <c r="C23" s="155">
        <f>PPU!J54</f>
        <v>7083.1528420000004</v>
      </c>
      <c r="D23" s="157">
        <f t="shared" ref="D23" si="25">F23-E23+1</f>
        <v>2</v>
      </c>
      <c r="E23" s="158">
        <v>5</v>
      </c>
      <c r="F23" s="158">
        <v>6</v>
      </c>
      <c r="G23" s="9" t="s">
        <v>20</v>
      </c>
      <c r="H23" s="10">
        <f t="shared" si="16"/>
        <v>0</v>
      </c>
      <c r="I23" s="10">
        <f t="shared" si="16"/>
        <v>0</v>
      </c>
      <c r="J23" s="10">
        <f t="shared" si="16"/>
        <v>0</v>
      </c>
      <c r="K23" s="10">
        <f t="shared" si="16"/>
        <v>0</v>
      </c>
      <c r="L23" s="10">
        <f t="shared" si="16"/>
        <v>3541.5764210000002</v>
      </c>
      <c r="M23" s="10">
        <f t="shared" si="16"/>
        <v>3541.5764210000002</v>
      </c>
      <c r="N23" s="10">
        <f t="shared" si="16"/>
        <v>0</v>
      </c>
      <c r="O23" s="10">
        <f t="shared" si="16"/>
        <v>0</v>
      </c>
    </row>
    <row r="24" spans="1:15">
      <c r="A24" s="154"/>
      <c r="B24" s="160"/>
      <c r="C24" s="156"/>
      <c r="D24" s="154"/>
      <c r="E24" s="154"/>
      <c r="F24" s="154"/>
      <c r="G24" s="9" t="s">
        <v>25</v>
      </c>
      <c r="H24" s="10">
        <f>IF(H23&gt;0,H23,0)</f>
        <v>0</v>
      </c>
      <c r="I24" s="10">
        <f>IF(I23&gt;0,I23+H24,0)</f>
        <v>0</v>
      </c>
      <c r="J24" s="10">
        <f t="shared" ref="J24" si="26">IF(J23&gt;0,J23+I24,0)</f>
        <v>0</v>
      </c>
      <c r="K24" s="10">
        <f t="shared" ref="K24" si="27">IF(K23&gt;0,K23+J24,0)</f>
        <v>0</v>
      </c>
      <c r="L24" s="10">
        <f t="shared" ref="L24" si="28">IF(L23&gt;0,L23+K24,0)</f>
        <v>3541.5764210000002</v>
      </c>
      <c r="M24" s="10">
        <f t="shared" ref="M24" si="29">IF(M23&gt;0,M23+L24,0)</f>
        <v>7083.1528420000004</v>
      </c>
      <c r="N24" s="10">
        <f t="shared" ref="N24" si="30">IF(N23&gt;0,N23+M24,0)</f>
        <v>0</v>
      </c>
      <c r="O24" s="10">
        <f t="shared" ref="O24" si="31">IF(O23&gt;0,O23+N24,0)</f>
        <v>0</v>
      </c>
    </row>
    <row r="25" spans="1:15">
      <c r="A25" s="154">
        <v>10</v>
      </c>
      <c r="B25" s="159" t="str">
        <f>PPU!B55</f>
        <v>TELHAMENTO</v>
      </c>
      <c r="C25" s="155">
        <f>PPU!J60</f>
        <v>5790.1087198000005</v>
      </c>
      <c r="D25" s="157">
        <f t="shared" ref="D25" si="32">F25-E25+1</f>
        <v>1</v>
      </c>
      <c r="E25" s="158">
        <v>6</v>
      </c>
      <c r="F25" s="158">
        <v>6</v>
      </c>
      <c r="G25" s="9" t="s">
        <v>20</v>
      </c>
      <c r="H25" s="10">
        <f t="shared" si="16"/>
        <v>0</v>
      </c>
      <c r="I25" s="10">
        <f t="shared" si="16"/>
        <v>0</v>
      </c>
      <c r="J25" s="10">
        <f t="shared" si="16"/>
        <v>0</v>
      </c>
      <c r="K25" s="10">
        <f t="shared" si="16"/>
        <v>0</v>
      </c>
      <c r="L25" s="10">
        <f t="shared" si="16"/>
        <v>0</v>
      </c>
      <c r="M25" s="10">
        <f t="shared" si="16"/>
        <v>5790.1087198000005</v>
      </c>
      <c r="N25" s="10">
        <f t="shared" si="16"/>
        <v>0</v>
      </c>
      <c r="O25" s="10">
        <f t="shared" si="16"/>
        <v>0</v>
      </c>
    </row>
    <row r="26" spans="1:15">
      <c r="A26" s="154"/>
      <c r="B26" s="160"/>
      <c r="C26" s="156"/>
      <c r="D26" s="154"/>
      <c r="E26" s="154"/>
      <c r="F26" s="154"/>
      <c r="G26" s="9" t="s">
        <v>25</v>
      </c>
      <c r="H26" s="10">
        <f>IF(H25&gt;0,H25,0)</f>
        <v>0</v>
      </c>
      <c r="I26" s="10">
        <f>IF(I25&gt;0,I25+H26,0)</f>
        <v>0</v>
      </c>
      <c r="J26" s="10">
        <f t="shared" ref="J26" si="33">IF(J25&gt;0,J25+I26,0)</f>
        <v>0</v>
      </c>
      <c r="K26" s="10">
        <f t="shared" ref="K26" si="34">IF(K25&gt;0,K25+J26,0)</f>
        <v>0</v>
      </c>
      <c r="L26" s="10">
        <f t="shared" ref="L26" si="35">IF(L25&gt;0,L25+K26,0)</f>
        <v>0</v>
      </c>
      <c r="M26" s="10">
        <f t="shared" ref="M26" si="36">IF(M25&gt;0,M25+L26,0)</f>
        <v>5790.1087198000005</v>
      </c>
      <c r="N26" s="10">
        <f t="shared" ref="N26" si="37">IF(N25&gt;0,N25+M26,0)</f>
        <v>0</v>
      </c>
      <c r="O26" s="10">
        <f t="shared" ref="O26" si="38">IF(O25&gt;0,O25+N26,0)</f>
        <v>0</v>
      </c>
    </row>
    <row r="27" spans="1:15">
      <c r="A27" s="154">
        <v>12</v>
      </c>
      <c r="B27" s="159" t="str">
        <f>PPU!B61</f>
        <v>REVESTIMENTO EM MASSA OU FUNDIDO NO LOCAL</v>
      </c>
      <c r="C27" s="155">
        <f>PPU!J65</f>
        <v>2290.2569781259999</v>
      </c>
      <c r="D27" s="157">
        <f t="shared" ref="D27" si="39">F27-E27+1</f>
        <v>2</v>
      </c>
      <c r="E27" s="158">
        <v>5</v>
      </c>
      <c r="F27" s="158">
        <v>6</v>
      </c>
      <c r="G27" s="9" t="s">
        <v>20</v>
      </c>
      <c r="H27" s="10">
        <f t="shared" si="16"/>
        <v>0</v>
      </c>
      <c r="I27" s="10">
        <f t="shared" si="16"/>
        <v>0</v>
      </c>
      <c r="J27" s="10">
        <f t="shared" si="16"/>
        <v>0</v>
      </c>
      <c r="K27" s="10">
        <f t="shared" si="16"/>
        <v>0</v>
      </c>
      <c r="L27" s="10">
        <f t="shared" si="16"/>
        <v>1145.128489063</v>
      </c>
      <c r="M27" s="10">
        <f t="shared" si="16"/>
        <v>1145.128489063</v>
      </c>
      <c r="N27" s="10">
        <f t="shared" si="16"/>
        <v>0</v>
      </c>
      <c r="O27" s="10">
        <f t="shared" si="16"/>
        <v>0</v>
      </c>
    </row>
    <row r="28" spans="1:15">
      <c r="A28" s="154"/>
      <c r="B28" s="160"/>
      <c r="C28" s="156"/>
      <c r="D28" s="154"/>
      <c r="E28" s="154"/>
      <c r="F28" s="154"/>
      <c r="G28" s="9" t="s">
        <v>25</v>
      </c>
      <c r="H28" s="10">
        <f>IF(H27&gt;0,H27,0)</f>
        <v>0</v>
      </c>
      <c r="I28" s="10">
        <f>IF(I27&gt;0,I27+H28,0)</f>
        <v>0</v>
      </c>
      <c r="J28" s="10">
        <f t="shared" ref="J28" si="40">IF(J27&gt;0,J27+I28,0)</f>
        <v>0</v>
      </c>
      <c r="K28" s="10">
        <f t="shared" ref="K28" si="41">IF(K27&gt;0,K27+J28,0)</f>
        <v>0</v>
      </c>
      <c r="L28" s="10">
        <f t="shared" ref="L28" si="42">IF(L27&gt;0,L27+K28,0)</f>
        <v>1145.128489063</v>
      </c>
      <c r="M28" s="10">
        <f t="shared" ref="M28" si="43">IF(M27&gt;0,M27+L28,0)</f>
        <v>2290.2569781259999</v>
      </c>
      <c r="N28" s="10">
        <f t="shared" ref="N28" si="44">IF(N27&gt;0,N27+M28,0)</f>
        <v>0</v>
      </c>
      <c r="O28" s="10">
        <f t="shared" ref="O28" si="45">IF(O27&gt;0,O27+N28,0)</f>
        <v>0</v>
      </c>
    </row>
    <row r="29" spans="1:15">
      <c r="A29" s="154">
        <v>13</v>
      </c>
      <c r="B29" s="159" t="str">
        <f>PPU!B66</f>
        <v>REVESTIMENTO CERÂMICO</v>
      </c>
      <c r="C29" s="155">
        <f>PPU!J72</f>
        <v>4446.9775066799984</v>
      </c>
      <c r="D29" s="157">
        <f t="shared" ref="D29" si="46">F29-E29+1</f>
        <v>1</v>
      </c>
      <c r="E29" s="158">
        <v>6</v>
      </c>
      <c r="F29" s="158">
        <v>6</v>
      </c>
      <c r="G29" s="9" t="s">
        <v>20</v>
      </c>
      <c r="H29" s="10">
        <f t="shared" si="16"/>
        <v>0</v>
      </c>
      <c r="I29" s="10">
        <f t="shared" si="16"/>
        <v>0</v>
      </c>
      <c r="J29" s="10">
        <f t="shared" si="16"/>
        <v>0</v>
      </c>
      <c r="K29" s="10">
        <f t="shared" si="16"/>
        <v>0</v>
      </c>
      <c r="L29" s="10">
        <f t="shared" si="16"/>
        <v>0</v>
      </c>
      <c r="M29" s="10">
        <f t="shared" si="16"/>
        <v>4446.9775066799984</v>
      </c>
      <c r="N29" s="10">
        <f t="shared" si="16"/>
        <v>0</v>
      </c>
      <c r="O29" s="10">
        <f t="shared" si="16"/>
        <v>0</v>
      </c>
    </row>
    <row r="30" spans="1:15">
      <c r="A30" s="154"/>
      <c r="B30" s="160"/>
      <c r="C30" s="156"/>
      <c r="D30" s="154"/>
      <c r="E30" s="154"/>
      <c r="F30" s="154"/>
      <c r="G30" s="9" t="s">
        <v>25</v>
      </c>
      <c r="H30" s="10">
        <f>IF(H29&gt;0,H29,0)</f>
        <v>0</v>
      </c>
      <c r="I30" s="10">
        <f>IF(I29&gt;0,I29+H30,0)</f>
        <v>0</v>
      </c>
      <c r="J30" s="10">
        <f t="shared" ref="J30" si="47">IF(J29&gt;0,J29+I30,0)</f>
        <v>0</v>
      </c>
      <c r="K30" s="10">
        <f t="shared" ref="K30" si="48">IF(K29&gt;0,K29+J30,0)</f>
        <v>0</v>
      </c>
      <c r="L30" s="10">
        <f t="shared" ref="L30" si="49">IF(L29&gt;0,L29+K30,0)</f>
        <v>0</v>
      </c>
      <c r="M30" s="10">
        <f t="shared" ref="M30" si="50">IF(M29&gt;0,M29+L30,0)</f>
        <v>4446.9775066799984</v>
      </c>
      <c r="N30" s="10">
        <f t="shared" ref="N30" si="51">IF(N29&gt;0,N29+M30,0)</f>
        <v>0</v>
      </c>
      <c r="O30" s="10">
        <f t="shared" ref="O30" si="52">IF(O29&gt;0,O29+N30,0)</f>
        <v>0</v>
      </c>
    </row>
    <row r="31" spans="1:15">
      <c r="A31" s="154">
        <v>14</v>
      </c>
      <c r="B31" s="159" t="str">
        <f>PPU!B73</f>
        <v>REVESTIMENTO EM PEDRA</v>
      </c>
      <c r="C31" s="155">
        <f>PPU!J76</f>
        <v>196.60932480000002</v>
      </c>
      <c r="D31" s="157">
        <f t="shared" ref="D31" si="53">F31-E31+1</f>
        <v>1</v>
      </c>
      <c r="E31" s="158">
        <v>6</v>
      </c>
      <c r="F31" s="158">
        <v>6</v>
      </c>
      <c r="G31" s="9" t="s">
        <v>20</v>
      </c>
      <c r="H31" s="10">
        <f t="shared" si="16"/>
        <v>0</v>
      </c>
      <c r="I31" s="10">
        <f t="shared" si="16"/>
        <v>0</v>
      </c>
      <c r="J31" s="10">
        <f t="shared" si="16"/>
        <v>0</v>
      </c>
      <c r="K31" s="10">
        <f t="shared" si="16"/>
        <v>0</v>
      </c>
      <c r="L31" s="10">
        <f t="shared" si="16"/>
        <v>0</v>
      </c>
      <c r="M31" s="10">
        <f t="shared" si="16"/>
        <v>196.60932480000002</v>
      </c>
      <c r="N31" s="10">
        <f t="shared" si="16"/>
        <v>0</v>
      </c>
      <c r="O31" s="10">
        <f t="shared" si="16"/>
        <v>0</v>
      </c>
    </row>
    <row r="32" spans="1:15">
      <c r="A32" s="154"/>
      <c r="B32" s="160"/>
      <c r="C32" s="156"/>
      <c r="D32" s="154"/>
      <c r="E32" s="154"/>
      <c r="F32" s="154"/>
      <c r="G32" s="9" t="s">
        <v>25</v>
      </c>
      <c r="H32" s="10">
        <f>IF(H31&gt;0,H31,0)</f>
        <v>0</v>
      </c>
      <c r="I32" s="10">
        <f>IF(I31&gt;0,I31+H32,0)</f>
        <v>0</v>
      </c>
      <c r="J32" s="10">
        <f t="shared" ref="J32" si="54">IF(J31&gt;0,J31+I32,0)</f>
        <v>0</v>
      </c>
      <c r="K32" s="10">
        <f t="shared" ref="K32" si="55">IF(K31&gt;0,K31+J32,0)</f>
        <v>0</v>
      </c>
      <c r="L32" s="10">
        <f t="shared" ref="L32" si="56">IF(L31&gt;0,L31+K32,0)</f>
        <v>0</v>
      </c>
      <c r="M32" s="10">
        <f t="shared" ref="M32" si="57">IF(M31&gt;0,M31+L32,0)</f>
        <v>196.60932480000002</v>
      </c>
      <c r="N32" s="10">
        <f t="shared" ref="N32" si="58">IF(N31&gt;0,N31+M32,0)</f>
        <v>0</v>
      </c>
      <c r="O32" s="10">
        <f t="shared" ref="O32" si="59">IF(O31&gt;0,O31+N32,0)</f>
        <v>0</v>
      </c>
    </row>
    <row r="33" spans="1:15">
      <c r="A33" s="154">
        <v>15</v>
      </c>
      <c r="B33" s="159" t="str">
        <f>PPU!B77</f>
        <v>ESQUADRIA, MARCENARIA E ELEMENTO EM MADEIRA</v>
      </c>
      <c r="C33" s="155">
        <f>PPU!J80</f>
        <v>1374.6647250000001</v>
      </c>
      <c r="D33" s="157">
        <f t="shared" ref="D33" si="60">F33-E33+1</f>
        <v>1</v>
      </c>
      <c r="E33" s="158">
        <v>6</v>
      </c>
      <c r="F33" s="158">
        <v>6</v>
      </c>
      <c r="G33" s="9" t="s">
        <v>20</v>
      </c>
      <c r="H33" s="10">
        <f t="shared" si="16"/>
        <v>0</v>
      </c>
      <c r="I33" s="10">
        <f t="shared" si="16"/>
        <v>0</v>
      </c>
      <c r="J33" s="10">
        <f t="shared" si="16"/>
        <v>0</v>
      </c>
      <c r="K33" s="10">
        <f t="shared" si="16"/>
        <v>0</v>
      </c>
      <c r="L33" s="10">
        <f t="shared" si="16"/>
        <v>0</v>
      </c>
      <c r="M33" s="10">
        <f t="shared" si="16"/>
        <v>1374.6647250000001</v>
      </c>
      <c r="N33" s="10">
        <f t="shared" si="16"/>
        <v>0</v>
      </c>
      <c r="O33" s="10">
        <f t="shared" si="16"/>
        <v>0</v>
      </c>
    </row>
    <row r="34" spans="1:15">
      <c r="A34" s="154"/>
      <c r="B34" s="160"/>
      <c r="C34" s="156"/>
      <c r="D34" s="154"/>
      <c r="E34" s="154"/>
      <c r="F34" s="154"/>
      <c r="G34" s="9" t="s">
        <v>25</v>
      </c>
      <c r="H34" s="10">
        <f>IF(H33&gt;0,H33,0)</f>
        <v>0</v>
      </c>
      <c r="I34" s="10">
        <f>IF(I33&gt;0,I33+H34,0)</f>
        <v>0</v>
      </c>
      <c r="J34" s="10">
        <f t="shared" ref="J34" si="61">IF(J33&gt;0,J33+I34,0)</f>
        <v>0</v>
      </c>
      <c r="K34" s="10">
        <f t="shared" ref="K34" si="62">IF(K33&gt;0,K33+J34,0)</f>
        <v>0</v>
      </c>
      <c r="L34" s="10">
        <f t="shared" ref="L34" si="63">IF(L33&gt;0,L33+K34,0)</f>
        <v>0</v>
      </c>
      <c r="M34" s="10">
        <f t="shared" ref="M34" si="64">IF(M33&gt;0,M33+L34,0)</f>
        <v>1374.6647250000001</v>
      </c>
      <c r="N34" s="10">
        <f t="shared" ref="N34" si="65">IF(N33&gt;0,N33+M34,0)</f>
        <v>0</v>
      </c>
      <c r="O34" s="10">
        <f t="shared" ref="O34" si="66">IF(O33&gt;0,O33+N34,0)</f>
        <v>0</v>
      </c>
    </row>
    <row r="35" spans="1:15">
      <c r="A35" s="154">
        <v>16</v>
      </c>
      <c r="B35" s="159" t="str">
        <f>PPU!B81</f>
        <v>ESQUADRIA, SERRALHERIA E ELEMENTO EM FERRO</v>
      </c>
      <c r="C35" s="155">
        <f>PPU!J86</f>
        <v>3178.2381206400005</v>
      </c>
      <c r="D35" s="157">
        <f t="shared" ref="D35" si="67">F35-E35+1</f>
        <v>1</v>
      </c>
      <c r="E35" s="158">
        <v>6</v>
      </c>
      <c r="F35" s="158">
        <v>6</v>
      </c>
      <c r="G35" s="9" t="s">
        <v>20</v>
      </c>
      <c r="H35" s="10">
        <f t="shared" si="16"/>
        <v>0</v>
      </c>
      <c r="I35" s="10">
        <f t="shared" si="16"/>
        <v>0</v>
      </c>
      <c r="J35" s="10">
        <f t="shared" si="16"/>
        <v>0</v>
      </c>
      <c r="K35" s="10">
        <f t="shared" si="16"/>
        <v>0</v>
      </c>
      <c r="L35" s="10">
        <f t="shared" si="16"/>
        <v>0</v>
      </c>
      <c r="M35" s="10">
        <f t="shared" si="16"/>
        <v>3178.2381206400005</v>
      </c>
      <c r="N35" s="10">
        <f t="shared" si="16"/>
        <v>0</v>
      </c>
      <c r="O35" s="10">
        <f t="shared" si="16"/>
        <v>0</v>
      </c>
    </row>
    <row r="36" spans="1:15">
      <c r="A36" s="154"/>
      <c r="B36" s="160"/>
      <c r="C36" s="156"/>
      <c r="D36" s="154"/>
      <c r="E36" s="154"/>
      <c r="F36" s="154"/>
      <c r="G36" s="9" t="s">
        <v>25</v>
      </c>
      <c r="H36" s="10">
        <f>IF(H35&gt;0,H35,0)</f>
        <v>0</v>
      </c>
      <c r="I36" s="10">
        <f>IF(I35&gt;0,I35+H36,0)</f>
        <v>0</v>
      </c>
      <c r="J36" s="10">
        <f t="shared" ref="J36" si="68">IF(J35&gt;0,J35+I36,0)</f>
        <v>0</v>
      </c>
      <c r="K36" s="10">
        <f t="shared" ref="K36" si="69">IF(K35&gt;0,K35+J36,0)</f>
        <v>0</v>
      </c>
      <c r="L36" s="10">
        <f t="shared" ref="L36" si="70">IF(L35&gt;0,L35+K36,0)</f>
        <v>0</v>
      </c>
      <c r="M36" s="10">
        <f t="shared" ref="M36" si="71">IF(M35&gt;0,M35+L36,0)</f>
        <v>3178.2381206400005</v>
      </c>
      <c r="N36" s="10">
        <f t="shared" ref="N36" si="72">IF(N35&gt;0,N35+M36,0)</f>
        <v>0</v>
      </c>
      <c r="O36" s="10">
        <f t="shared" ref="O36" si="73">IF(O35&gt;0,O35+N36,0)</f>
        <v>0</v>
      </c>
    </row>
    <row r="37" spans="1:15">
      <c r="A37" s="154">
        <v>17</v>
      </c>
      <c r="B37" s="159" t="str">
        <f>PPU!B87</f>
        <v>ESQUADRIA E ELEMENTO EM VIDRO</v>
      </c>
      <c r="C37" s="155">
        <f>PPU!J92</f>
        <v>215.66347480000002</v>
      </c>
      <c r="D37" s="157">
        <f t="shared" ref="D37" si="74">F37-E37+1</f>
        <v>1</v>
      </c>
      <c r="E37" s="158">
        <v>6</v>
      </c>
      <c r="F37" s="158">
        <v>6</v>
      </c>
      <c r="G37" s="9" t="s">
        <v>20</v>
      </c>
      <c r="H37" s="10">
        <f t="shared" si="16"/>
        <v>0</v>
      </c>
      <c r="I37" s="10">
        <f t="shared" si="16"/>
        <v>0</v>
      </c>
      <c r="J37" s="10">
        <f t="shared" si="16"/>
        <v>0</v>
      </c>
      <c r="K37" s="10">
        <f t="shared" si="16"/>
        <v>0</v>
      </c>
      <c r="L37" s="10">
        <f t="shared" si="16"/>
        <v>0</v>
      </c>
      <c r="M37" s="10">
        <f t="shared" si="16"/>
        <v>215.66347480000002</v>
      </c>
      <c r="N37" s="10">
        <f t="shared" si="16"/>
        <v>0</v>
      </c>
      <c r="O37" s="10">
        <f t="shared" si="16"/>
        <v>0</v>
      </c>
    </row>
    <row r="38" spans="1:15">
      <c r="A38" s="154"/>
      <c r="B38" s="160"/>
      <c r="C38" s="156"/>
      <c r="D38" s="154"/>
      <c r="E38" s="154"/>
      <c r="F38" s="154"/>
      <c r="G38" s="9" t="s">
        <v>25</v>
      </c>
      <c r="H38" s="10">
        <f>IF(H37&gt;0,H37,0)</f>
        <v>0</v>
      </c>
      <c r="I38" s="10">
        <f>IF(I37&gt;0,I37+H38,0)</f>
        <v>0</v>
      </c>
      <c r="J38" s="10">
        <f t="shared" ref="J38" si="75">IF(J37&gt;0,J37+I38,0)</f>
        <v>0</v>
      </c>
      <c r="K38" s="10">
        <f t="shared" ref="K38" si="76">IF(K37&gt;0,K37+J38,0)</f>
        <v>0</v>
      </c>
      <c r="L38" s="10">
        <f t="shared" ref="L38" si="77">IF(L37&gt;0,L37+K38,0)</f>
        <v>0</v>
      </c>
      <c r="M38" s="10">
        <f t="shared" ref="M38" si="78">IF(M37&gt;0,M37+L38,0)</f>
        <v>215.66347480000002</v>
      </c>
      <c r="N38" s="10">
        <f t="shared" ref="N38" si="79">IF(N37&gt;0,N37+M38,0)</f>
        <v>0</v>
      </c>
      <c r="O38" s="10">
        <f t="shared" ref="O38" si="80">IF(O37&gt;0,O37+N38,0)</f>
        <v>0</v>
      </c>
    </row>
    <row r="39" spans="1:15">
      <c r="A39" s="154">
        <v>19</v>
      </c>
      <c r="B39" s="159" t="str">
        <f>PPU!B93</f>
        <v>FERRAGEM COMPLEMENTAR PARA ESQUADRIAS</v>
      </c>
      <c r="C39" s="155">
        <f>PPU!J96</f>
        <v>731.56872300000009</v>
      </c>
      <c r="D39" s="157">
        <f t="shared" ref="D39" si="81">F39-E39+1</f>
        <v>1</v>
      </c>
      <c r="E39" s="158">
        <v>7</v>
      </c>
      <c r="F39" s="158">
        <v>7</v>
      </c>
      <c r="G39" s="9" t="s">
        <v>20</v>
      </c>
      <c r="H39" s="10">
        <f t="shared" si="16"/>
        <v>0</v>
      </c>
      <c r="I39" s="10">
        <f t="shared" si="16"/>
        <v>0</v>
      </c>
      <c r="J39" s="10">
        <f t="shared" si="16"/>
        <v>0</v>
      </c>
      <c r="K39" s="10">
        <f t="shared" si="16"/>
        <v>0</v>
      </c>
      <c r="L39" s="10">
        <f t="shared" si="16"/>
        <v>0</v>
      </c>
      <c r="M39" s="10">
        <f t="shared" si="16"/>
        <v>0</v>
      </c>
      <c r="N39" s="10">
        <f t="shared" si="16"/>
        <v>731.56872300000009</v>
      </c>
      <c r="O39" s="10">
        <f t="shared" si="16"/>
        <v>0</v>
      </c>
    </row>
    <row r="40" spans="1:15">
      <c r="A40" s="154"/>
      <c r="B40" s="160"/>
      <c r="C40" s="156"/>
      <c r="D40" s="154"/>
      <c r="E40" s="154"/>
      <c r="F40" s="154"/>
      <c r="G40" s="9" t="s">
        <v>25</v>
      </c>
      <c r="H40" s="10">
        <f>IF(H39&gt;0,H39,0)</f>
        <v>0</v>
      </c>
      <c r="I40" s="10">
        <f>IF(I39&gt;0,I39+H40,0)</f>
        <v>0</v>
      </c>
      <c r="J40" s="10">
        <f t="shared" ref="J40" si="82">IF(J39&gt;0,J39+I40,0)</f>
        <v>0</v>
      </c>
      <c r="K40" s="10">
        <f t="shared" ref="K40" si="83">IF(K39&gt;0,K39+J40,0)</f>
        <v>0</v>
      </c>
      <c r="L40" s="10">
        <f t="shared" ref="L40" si="84">IF(L39&gt;0,L39+K40,0)</f>
        <v>0</v>
      </c>
      <c r="M40" s="10">
        <f t="shared" ref="M40" si="85">IF(M39&gt;0,M39+L40,0)</f>
        <v>0</v>
      </c>
      <c r="N40" s="10">
        <f t="shared" ref="N40" si="86">IF(N39&gt;0,N39+M40,0)</f>
        <v>731.56872300000009</v>
      </c>
      <c r="O40" s="10">
        <f t="shared" ref="O40" si="87">IF(O39&gt;0,O39+N40,0)</f>
        <v>0</v>
      </c>
    </row>
    <row r="41" spans="1:15">
      <c r="A41" s="154">
        <v>21</v>
      </c>
      <c r="B41" s="159" t="str">
        <f>PPU!B97</f>
        <v>IMPERMEABILIZAÇÃO, PROTEÇÃO E JUNTA</v>
      </c>
      <c r="C41" s="155">
        <f>PPU!J100</f>
        <v>288.48553495200002</v>
      </c>
      <c r="D41" s="157">
        <f t="shared" ref="D41" si="88">F41-E41+1</f>
        <v>4</v>
      </c>
      <c r="E41" s="158">
        <v>2</v>
      </c>
      <c r="F41" s="158">
        <v>5</v>
      </c>
      <c r="G41" s="9" t="s">
        <v>20</v>
      </c>
      <c r="H41" s="10">
        <f t="shared" si="16"/>
        <v>0</v>
      </c>
      <c r="I41" s="10">
        <f t="shared" si="16"/>
        <v>72.121383738000006</v>
      </c>
      <c r="J41" s="10">
        <f t="shared" si="16"/>
        <v>72.121383738000006</v>
      </c>
      <c r="K41" s="10">
        <f t="shared" si="16"/>
        <v>72.121383738000006</v>
      </c>
      <c r="L41" s="10">
        <f t="shared" si="16"/>
        <v>72.121383738000006</v>
      </c>
      <c r="M41" s="10">
        <f t="shared" si="16"/>
        <v>0</v>
      </c>
      <c r="N41" s="10">
        <f t="shared" si="16"/>
        <v>0</v>
      </c>
      <c r="O41" s="10">
        <f t="shared" si="16"/>
        <v>0</v>
      </c>
    </row>
    <row r="42" spans="1:15">
      <c r="A42" s="154"/>
      <c r="B42" s="160"/>
      <c r="C42" s="156"/>
      <c r="D42" s="154"/>
      <c r="E42" s="154"/>
      <c r="F42" s="154"/>
      <c r="G42" s="9" t="s">
        <v>25</v>
      </c>
      <c r="H42" s="10">
        <f>IF(H41&gt;0,H41,0)</f>
        <v>0</v>
      </c>
      <c r="I42" s="10">
        <f>IF(I41&gt;0,I41+H42,0)</f>
        <v>72.121383738000006</v>
      </c>
      <c r="J42" s="10">
        <f t="shared" ref="J42" si="89">IF(J41&gt;0,J41+I42,0)</f>
        <v>144.24276747600001</v>
      </c>
      <c r="K42" s="10">
        <f t="shared" ref="K42" si="90">IF(K41&gt;0,K41+J42,0)</f>
        <v>216.364151214</v>
      </c>
      <c r="L42" s="10">
        <f t="shared" ref="L42" si="91">IF(L41&gt;0,L41+K42,0)</f>
        <v>288.48553495200002</v>
      </c>
      <c r="M42" s="10">
        <f t="shared" ref="M42" si="92">IF(M41&gt;0,M41+L42,0)</f>
        <v>0</v>
      </c>
      <c r="N42" s="10">
        <f t="shared" ref="N42" si="93">IF(N41&gt;0,N41+M42,0)</f>
        <v>0</v>
      </c>
      <c r="O42" s="10">
        <f t="shared" ref="O42" si="94">IF(O41&gt;0,O41+N42,0)</f>
        <v>0</v>
      </c>
    </row>
    <row r="43" spans="1:15">
      <c r="A43" s="154">
        <v>22</v>
      </c>
      <c r="B43" s="159" t="str">
        <f>PPU!B101</f>
        <v>PINTURA</v>
      </c>
      <c r="C43" s="155">
        <f>PPU!J112</f>
        <v>10191.879210700001</v>
      </c>
      <c r="D43" s="157">
        <f t="shared" ref="D43" si="95">F43-E43+1</f>
        <v>2</v>
      </c>
      <c r="E43" s="158">
        <v>7</v>
      </c>
      <c r="F43" s="158">
        <v>8</v>
      </c>
      <c r="G43" s="9" t="s">
        <v>20</v>
      </c>
      <c r="H43" s="10">
        <f t="shared" si="16"/>
        <v>0</v>
      </c>
      <c r="I43" s="10">
        <f t="shared" si="16"/>
        <v>0</v>
      </c>
      <c r="J43" s="10">
        <f t="shared" si="16"/>
        <v>0</v>
      </c>
      <c r="K43" s="10">
        <f t="shared" si="16"/>
        <v>0</v>
      </c>
      <c r="L43" s="10">
        <f t="shared" si="16"/>
        <v>0</v>
      </c>
      <c r="M43" s="10">
        <f t="shared" si="16"/>
        <v>0</v>
      </c>
      <c r="N43" s="10">
        <f t="shared" si="16"/>
        <v>5095.9396053500004</v>
      </c>
      <c r="O43" s="10">
        <f t="shared" si="16"/>
        <v>5095.9396053500004</v>
      </c>
    </row>
    <row r="44" spans="1:15">
      <c r="A44" s="154"/>
      <c r="B44" s="160"/>
      <c r="C44" s="156"/>
      <c r="D44" s="154"/>
      <c r="E44" s="154"/>
      <c r="F44" s="154"/>
      <c r="G44" s="9" t="s">
        <v>25</v>
      </c>
      <c r="H44" s="10">
        <f>IF(H43&gt;0,H43,0)</f>
        <v>0</v>
      </c>
      <c r="I44" s="10">
        <f>IF(I43&gt;0,I43+H44,0)</f>
        <v>0</v>
      </c>
      <c r="J44" s="10">
        <f t="shared" ref="J44" si="96">IF(J43&gt;0,J43+I44,0)</f>
        <v>0</v>
      </c>
      <c r="K44" s="10">
        <f t="shared" ref="K44" si="97">IF(K43&gt;0,K43+J44,0)</f>
        <v>0</v>
      </c>
      <c r="L44" s="10">
        <f t="shared" ref="L44" si="98">IF(L43&gt;0,L43+K44,0)</f>
        <v>0</v>
      </c>
      <c r="M44" s="10">
        <f t="shared" ref="M44" si="99">IF(M43&gt;0,M43+L44,0)</f>
        <v>0</v>
      </c>
      <c r="N44" s="10">
        <f t="shared" ref="N44" si="100">IF(N43&gt;0,N43+M44,0)</f>
        <v>5095.9396053500004</v>
      </c>
      <c r="O44" s="10">
        <f t="shared" ref="O44" si="101">IF(O43&gt;0,O43+N44,0)</f>
        <v>10191.879210700001</v>
      </c>
    </row>
    <row r="45" spans="1:15">
      <c r="A45" s="154">
        <v>23</v>
      </c>
      <c r="B45" s="159" t="str">
        <f>PPU!B113</f>
        <v>PAISAGISMO E FECHAMENTOS</v>
      </c>
      <c r="C45" s="155">
        <f>PPU!J116</f>
        <v>2587.6765</v>
      </c>
      <c r="D45" s="157">
        <f t="shared" ref="D45" si="102">F45-E45+1</f>
        <v>1</v>
      </c>
      <c r="E45" s="158">
        <v>5</v>
      </c>
      <c r="F45" s="158">
        <v>5</v>
      </c>
      <c r="G45" s="9" t="s">
        <v>20</v>
      </c>
      <c r="H45" s="10">
        <f t="shared" si="16"/>
        <v>0</v>
      </c>
      <c r="I45" s="10">
        <f t="shared" si="16"/>
        <v>0</v>
      </c>
      <c r="J45" s="10">
        <f t="shared" si="16"/>
        <v>0</v>
      </c>
      <c r="K45" s="10">
        <f t="shared" si="16"/>
        <v>0</v>
      </c>
      <c r="L45" s="10">
        <f t="shared" si="16"/>
        <v>2587.6765</v>
      </c>
      <c r="M45" s="10">
        <f t="shared" si="16"/>
        <v>0</v>
      </c>
      <c r="N45" s="10">
        <f t="shared" si="16"/>
        <v>0</v>
      </c>
      <c r="O45" s="10">
        <f t="shared" si="16"/>
        <v>0</v>
      </c>
    </row>
    <row r="46" spans="1:15">
      <c r="A46" s="154"/>
      <c r="B46" s="160"/>
      <c r="C46" s="156"/>
      <c r="D46" s="154"/>
      <c r="E46" s="154"/>
      <c r="F46" s="154"/>
      <c r="G46" s="9" t="s">
        <v>25</v>
      </c>
      <c r="H46" s="10">
        <f>IF(H45&gt;0,H45,0)</f>
        <v>0</v>
      </c>
      <c r="I46" s="10">
        <f>IF(I45&gt;0,I45+H46,0)</f>
        <v>0</v>
      </c>
      <c r="J46" s="10">
        <f t="shared" ref="J46" si="103">IF(J45&gt;0,J45+I46,0)</f>
        <v>0</v>
      </c>
      <c r="K46" s="10">
        <f t="shared" ref="K46" si="104">IF(K45&gt;0,K45+J46,0)</f>
        <v>0</v>
      </c>
      <c r="L46" s="10">
        <f t="shared" ref="L46" si="105">IF(L45&gt;0,L45+K46,0)</f>
        <v>2587.6765</v>
      </c>
      <c r="M46" s="10">
        <f t="shared" ref="M46" si="106">IF(M45&gt;0,M45+L46,0)</f>
        <v>0</v>
      </c>
      <c r="N46" s="10">
        <f t="shared" ref="N46" si="107">IF(N45&gt;0,N45+M46,0)</f>
        <v>0</v>
      </c>
      <c r="O46" s="10">
        <f t="shared" ref="O46" si="108">IF(O45&gt;0,O45+N46,0)</f>
        <v>0</v>
      </c>
    </row>
    <row r="47" spans="1:15">
      <c r="A47" s="154">
        <v>25</v>
      </c>
      <c r="B47" s="159" t="str">
        <f>PPU!B117</f>
        <v>QUADRO E PAINEL PARA ENERGIA ELÉTRICA E TELEFONIA</v>
      </c>
      <c r="C47" s="155">
        <f>PPU!J125</f>
        <v>1082.7059750000001</v>
      </c>
      <c r="D47" s="157">
        <f t="shared" ref="D47" si="109">F47-E47+1</f>
        <v>1</v>
      </c>
      <c r="E47" s="158">
        <v>6</v>
      </c>
      <c r="F47" s="158">
        <v>6</v>
      </c>
      <c r="G47" s="9" t="s">
        <v>20</v>
      </c>
      <c r="H47" s="10">
        <f t="shared" si="16"/>
        <v>0</v>
      </c>
      <c r="I47" s="10">
        <f t="shared" si="16"/>
        <v>0</v>
      </c>
      <c r="J47" s="10">
        <f t="shared" si="16"/>
        <v>0</v>
      </c>
      <c r="K47" s="10">
        <f t="shared" si="16"/>
        <v>0</v>
      </c>
      <c r="L47" s="10">
        <f t="shared" si="16"/>
        <v>0</v>
      </c>
      <c r="M47" s="10">
        <f t="shared" si="16"/>
        <v>1082.7059750000001</v>
      </c>
      <c r="N47" s="10">
        <f t="shared" si="16"/>
        <v>0</v>
      </c>
      <c r="O47" s="10">
        <f t="shared" si="16"/>
        <v>0</v>
      </c>
    </row>
    <row r="48" spans="1:15">
      <c r="A48" s="154"/>
      <c r="B48" s="160"/>
      <c r="C48" s="156"/>
      <c r="D48" s="154"/>
      <c r="E48" s="154"/>
      <c r="F48" s="154"/>
      <c r="G48" s="9" t="s">
        <v>25</v>
      </c>
      <c r="H48" s="10">
        <f>IF(H47&gt;0,H47,0)</f>
        <v>0</v>
      </c>
      <c r="I48" s="10">
        <f>IF(I47&gt;0,I47+H48,0)</f>
        <v>0</v>
      </c>
      <c r="J48" s="10">
        <f t="shared" ref="J48" si="110">IF(J47&gt;0,J47+I48,0)</f>
        <v>0</v>
      </c>
      <c r="K48" s="10">
        <f t="shared" ref="K48" si="111">IF(K47&gt;0,K47+J48,0)</f>
        <v>0</v>
      </c>
      <c r="L48" s="10">
        <f t="shared" ref="L48" si="112">IF(L47&gt;0,L47+K48,0)</f>
        <v>0</v>
      </c>
      <c r="M48" s="10">
        <f t="shared" ref="M48" si="113">IF(M47&gt;0,M47+L48,0)</f>
        <v>1082.7059750000001</v>
      </c>
      <c r="N48" s="10">
        <f t="shared" ref="N48" si="114">IF(N47&gt;0,N47+M48,0)</f>
        <v>0</v>
      </c>
      <c r="O48" s="10">
        <f t="shared" ref="O48" si="115">IF(O47&gt;0,O47+N48,0)</f>
        <v>0</v>
      </c>
    </row>
    <row r="49" spans="1:15">
      <c r="A49" s="154">
        <v>26</v>
      </c>
      <c r="B49" s="159" t="str">
        <f>PPU!B126</f>
        <v>TUBULAÇÃO E CONDUTOR PARA ENERGIA ELÉTRICA E TELEFONIA BÁSICA</v>
      </c>
      <c r="C49" s="155">
        <f>PPU!J132</f>
        <v>2133.3272200000001</v>
      </c>
      <c r="D49" s="157">
        <f t="shared" ref="D49" si="116">F49-E49+1</f>
        <v>1</v>
      </c>
      <c r="E49" s="158">
        <v>6</v>
      </c>
      <c r="F49" s="158">
        <v>6</v>
      </c>
      <c r="G49" s="9" t="s">
        <v>20</v>
      </c>
      <c r="H49" s="10">
        <f t="shared" si="16"/>
        <v>0</v>
      </c>
      <c r="I49" s="10">
        <f t="shared" si="16"/>
        <v>0</v>
      </c>
      <c r="J49" s="10">
        <f t="shared" si="16"/>
        <v>0</v>
      </c>
      <c r="K49" s="10">
        <f t="shared" si="16"/>
        <v>0</v>
      </c>
      <c r="L49" s="10">
        <f t="shared" si="16"/>
        <v>0</v>
      </c>
      <c r="M49" s="10">
        <f t="shared" si="16"/>
        <v>2133.3272200000001</v>
      </c>
      <c r="N49" s="10">
        <f t="shared" si="16"/>
        <v>0</v>
      </c>
      <c r="O49" s="10">
        <f t="shared" si="16"/>
        <v>0</v>
      </c>
    </row>
    <row r="50" spans="1:15">
      <c r="A50" s="154"/>
      <c r="B50" s="160"/>
      <c r="C50" s="156"/>
      <c r="D50" s="154"/>
      <c r="E50" s="154"/>
      <c r="F50" s="154"/>
      <c r="G50" s="9" t="s">
        <v>25</v>
      </c>
      <c r="H50" s="10">
        <f>IF(H49&gt;0,H49,0)</f>
        <v>0</v>
      </c>
      <c r="I50" s="10">
        <f>IF(I49&gt;0,I49+H50,0)</f>
        <v>0</v>
      </c>
      <c r="J50" s="10">
        <f t="shared" ref="J50" si="117">IF(J49&gt;0,J49+I50,0)</f>
        <v>0</v>
      </c>
      <c r="K50" s="10">
        <f t="shared" ref="K50" si="118">IF(K49&gt;0,K49+J50,0)</f>
        <v>0</v>
      </c>
      <c r="L50" s="10">
        <f t="shared" ref="L50" si="119">IF(L49&gt;0,L49+K50,0)</f>
        <v>0</v>
      </c>
      <c r="M50" s="10">
        <f t="shared" ref="M50" si="120">IF(M49&gt;0,M49+L50,0)</f>
        <v>2133.3272200000001</v>
      </c>
      <c r="N50" s="10">
        <f t="shared" ref="N50" si="121">IF(N49&gt;0,N49+M50,0)</f>
        <v>0</v>
      </c>
      <c r="O50" s="10">
        <f t="shared" ref="O50" si="122">IF(O49&gt;0,O49+N50,0)</f>
        <v>0</v>
      </c>
    </row>
    <row r="51" spans="1:15">
      <c r="A51" s="154">
        <v>27</v>
      </c>
      <c r="B51" s="159" t="str">
        <f>PPU!B133</f>
        <v>CONDUTOR E ENFIAÇÃO DE ENERGIA ELÉTRICA E TELEFONIA</v>
      </c>
      <c r="C51" s="155">
        <f>PPU!J143</f>
        <v>3483.9345440000002</v>
      </c>
      <c r="D51" s="157">
        <f t="shared" ref="D51" si="123">F51-E51+1</f>
        <v>1</v>
      </c>
      <c r="E51" s="158">
        <v>6</v>
      </c>
      <c r="F51" s="158">
        <v>6</v>
      </c>
      <c r="G51" s="9" t="s">
        <v>20</v>
      </c>
      <c r="H51" s="10">
        <f t="shared" si="16"/>
        <v>0</v>
      </c>
      <c r="I51" s="10">
        <f t="shared" si="16"/>
        <v>0</v>
      </c>
      <c r="J51" s="10">
        <f t="shared" si="16"/>
        <v>0</v>
      </c>
      <c r="K51" s="10">
        <f t="shared" si="16"/>
        <v>0</v>
      </c>
      <c r="L51" s="10">
        <f t="shared" si="16"/>
        <v>0</v>
      </c>
      <c r="M51" s="10">
        <f t="shared" si="16"/>
        <v>3483.9345440000002</v>
      </c>
      <c r="N51" s="10">
        <f t="shared" si="16"/>
        <v>0</v>
      </c>
      <c r="O51" s="10">
        <f t="shared" si="16"/>
        <v>0</v>
      </c>
    </row>
    <row r="52" spans="1:15">
      <c r="A52" s="154"/>
      <c r="B52" s="160"/>
      <c r="C52" s="156"/>
      <c r="D52" s="154"/>
      <c r="E52" s="154"/>
      <c r="F52" s="154"/>
      <c r="G52" s="9" t="s">
        <v>25</v>
      </c>
      <c r="H52" s="10">
        <f>IF(H51&gt;0,H51,0)</f>
        <v>0</v>
      </c>
      <c r="I52" s="10">
        <f>IF(I51&gt;0,I51+H52,0)</f>
        <v>0</v>
      </c>
      <c r="J52" s="10">
        <f t="shared" ref="J52" si="124">IF(J51&gt;0,J51+I52,0)</f>
        <v>0</v>
      </c>
      <c r="K52" s="10">
        <f t="shared" ref="K52" si="125">IF(K51&gt;0,K51+J52,0)</f>
        <v>0</v>
      </c>
      <c r="L52" s="10">
        <f t="shared" ref="L52" si="126">IF(L51&gt;0,L51+K52,0)</f>
        <v>0</v>
      </c>
      <c r="M52" s="10">
        <f t="shared" ref="M52" si="127">IF(M51&gt;0,M51+L52,0)</f>
        <v>3483.9345440000002</v>
      </c>
      <c r="N52" s="10">
        <f t="shared" ref="N52" si="128">IF(N51&gt;0,N51+M52,0)</f>
        <v>0</v>
      </c>
      <c r="O52" s="10">
        <f t="shared" ref="O52" si="129">IF(O51&gt;0,O51+N52,0)</f>
        <v>0</v>
      </c>
    </row>
    <row r="53" spans="1:15">
      <c r="A53" s="154">
        <v>28</v>
      </c>
      <c r="B53" s="159" t="str">
        <f>PPU!B144</f>
        <v>DISTRIBUIÇÃO DE FORÇA E COMANDO DE ENERGIA ELÉTRICA E TELEFONIA</v>
      </c>
      <c r="C53" s="155">
        <f>PPU!J155</f>
        <v>1005.395298</v>
      </c>
      <c r="D53" s="157">
        <f t="shared" ref="D53" si="130">F53-E53+1</f>
        <v>1</v>
      </c>
      <c r="E53" s="158">
        <v>6</v>
      </c>
      <c r="F53" s="158">
        <v>6</v>
      </c>
      <c r="G53" s="9" t="s">
        <v>20</v>
      </c>
      <c r="H53" s="10">
        <f t="shared" si="16"/>
        <v>0</v>
      </c>
      <c r="I53" s="10">
        <f t="shared" si="16"/>
        <v>0</v>
      </c>
      <c r="J53" s="10">
        <f t="shared" si="16"/>
        <v>0</v>
      </c>
      <c r="K53" s="10">
        <f t="shared" si="16"/>
        <v>0</v>
      </c>
      <c r="L53" s="10">
        <f t="shared" si="16"/>
        <v>0</v>
      </c>
      <c r="M53" s="10">
        <f t="shared" si="16"/>
        <v>1005.395298</v>
      </c>
      <c r="N53" s="10">
        <f t="shared" si="16"/>
        <v>0</v>
      </c>
      <c r="O53" s="10">
        <f t="shared" si="16"/>
        <v>0</v>
      </c>
    </row>
    <row r="54" spans="1:15">
      <c r="A54" s="154"/>
      <c r="B54" s="160"/>
      <c r="C54" s="156"/>
      <c r="D54" s="154"/>
      <c r="E54" s="154"/>
      <c r="F54" s="154"/>
      <c r="G54" s="9" t="s">
        <v>25</v>
      </c>
      <c r="H54" s="10">
        <f>IF(H53&gt;0,H53,0)</f>
        <v>0</v>
      </c>
      <c r="I54" s="10">
        <f>IF(I53&gt;0,I53+H54,0)</f>
        <v>0</v>
      </c>
      <c r="J54" s="10">
        <f t="shared" ref="J54" si="131">IF(J53&gt;0,J53+I54,0)</f>
        <v>0</v>
      </c>
      <c r="K54" s="10">
        <f t="shared" ref="K54" si="132">IF(K53&gt;0,K53+J54,0)</f>
        <v>0</v>
      </c>
      <c r="L54" s="10">
        <f t="shared" ref="L54" si="133">IF(L53&gt;0,L53+K54,0)</f>
        <v>0</v>
      </c>
      <c r="M54" s="10">
        <f t="shared" ref="M54" si="134">IF(M53&gt;0,M53+L54,0)</f>
        <v>1005.395298</v>
      </c>
      <c r="N54" s="10">
        <f t="shared" ref="N54" si="135">IF(N53&gt;0,N53+M54,0)</f>
        <v>0</v>
      </c>
      <c r="O54" s="10">
        <f t="shared" ref="O54" si="136">IF(O53&gt;0,O53+N54,0)</f>
        <v>0</v>
      </c>
    </row>
    <row r="55" spans="1:15">
      <c r="A55" s="154">
        <v>29</v>
      </c>
      <c r="B55" s="159" t="str">
        <f>PPU!B156</f>
        <v>ILUMINAÇÃO</v>
      </c>
      <c r="C55" s="155">
        <f>PPU!J163</f>
        <v>978.43674900000008</v>
      </c>
      <c r="D55" s="157">
        <f t="shared" ref="D55" si="137">F55-E55+1</f>
        <v>2</v>
      </c>
      <c r="E55" s="158">
        <v>7</v>
      </c>
      <c r="F55" s="158">
        <v>8</v>
      </c>
      <c r="G55" s="9" t="s">
        <v>20</v>
      </c>
      <c r="H55" s="10">
        <f t="shared" si="16"/>
        <v>0</v>
      </c>
      <c r="I55" s="10">
        <f t="shared" si="16"/>
        <v>0</v>
      </c>
      <c r="J55" s="10">
        <f t="shared" si="16"/>
        <v>0</v>
      </c>
      <c r="K55" s="10">
        <f t="shared" si="16"/>
        <v>0</v>
      </c>
      <c r="L55" s="10">
        <f t="shared" si="16"/>
        <v>0</v>
      </c>
      <c r="M55" s="10">
        <f t="shared" si="16"/>
        <v>0</v>
      </c>
      <c r="N55" s="10">
        <f t="shared" si="16"/>
        <v>489.21837450000004</v>
      </c>
      <c r="O55" s="10">
        <f t="shared" si="16"/>
        <v>489.21837450000004</v>
      </c>
    </row>
    <row r="56" spans="1:15">
      <c r="A56" s="154"/>
      <c r="B56" s="160"/>
      <c r="C56" s="156"/>
      <c r="D56" s="154"/>
      <c r="E56" s="154"/>
      <c r="F56" s="154"/>
      <c r="G56" s="9" t="s">
        <v>25</v>
      </c>
      <c r="H56" s="10">
        <f>IF(H55&gt;0,H55,0)</f>
        <v>0</v>
      </c>
      <c r="I56" s="10">
        <f>IF(I55&gt;0,I55+H56,0)</f>
        <v>0</v>
      </c>
      <c r="J56" s="10">
        <f t="shared" ref="J56" si="138">IF(J55&gt;0,J55+I56,0)</f>
        <v>0</v>
      </c>
      <c r="K56" s="10">
        <f t="shared" ref="K56" si="139">IF(K55&gt;0,K55+J56,0)</f>
        <v>0</v>
      </c>
      <c r="L56" s="10">
        <f t="shared" ref="L56" si="140">IF(L55&gt;0,L55+K56,0)</f>
        <v>0</v>
      </c>
      <c r="M56" s="10">
        <f t="shared" ref="M56" si="141">IF(M55&gt;0,M55+L56,0)</f>
        <v>0</v>
      </c>
      <c r="N56" s="10">
        <f t="shared" ref="N56" si="142">IF(N55&gt;0,N55+M56,0)</f>
        <v>489.21837450000004</v>
      </c>
      <c r="O56" s="10">
        <f t="shared" ref="O56" si="143">IF(O55&gt;0,O55+N56,0)</f>
        <v>978.43674900000008</v>
      </c>
    </row>
    <row r="57" spans="1:15">
      <c r="A57" s="154">
        <v>30</v>
      </c>
      <c r="B57" s="159" t="str">
        <f>PPU!B164</f>
        <v>PARA-RAIOS PARA EDIFICAÇÃO</v>
      </c>
      <c r="C57" s="155">
        <f>PPU!J168</f>
        <v>122.45057300000001</v>
      </c>
      <c r="D57" s="157">
        <f t="shared" ref="D57" si="144">F57-E57+1</f>
        <v>1</v>
      </c>
      <c r="E57" s="158">
        <v>6</v>
      </c>
      <c r="F57" s="158">
        <v>6</v>
      </c>
      <c r="G57" s="9" t="s">
        <v>20</v>
      </c>
      <c r="H57" s="10">
        <f t="shared" si="16"/>
        <v>0</v>
      </c>
      <c r="I57" s="10">
        <f t="shared" si="16"/>
        <v>0</v>
      </c>
      <c r="J57" s="10">
        <f t="shared" si="16"/>
        <v>0</v>
      </c>
      <c r="K57" s="10">
        <f t="shared" si="16"/>
        <v>0</v>
      </c>
      <c r="L57" s="10">
        <f t="shared" si="16"/>
        <v>0</v>
      </c>
      <c r="M57" s="10">
        <f t="shared" si="16"/>
        <v>122.45057300000001</v>
      </c>
      <c r="N57" s="10">
        <f t="shared" si="16"/>
        <v>0</v>
      </c>
      <c r="O57" s="10">
        <f t="shared" si="16"/>
        <v>0</v>
      </c>
    </row>
    <row r="58" spans="1:15">
      <c r="A58" s="154"/>
      <c r="B58" s="160"/>
      <c r="C58" s="156"/>
      <c r="D58" s="154"/>
      <c r="E58" s="154"/>
      <c r="F58" s="154"/>
      <c r="G58" s="9" t="s">
        <v>25</v>
      </c>
      <c r="H58" s="10">
        <f>IF(H57&gt;0,H57,0)</f>
        <v>0</v>
      </c>
      <c r="I58" s="10">
        <f>IF(I57&gt;0,I57+H58,0)</f>
        <v>0</v>
      </c>
      <c r="J58" s="10">
        <f t="shared" ref="J58" si="145">IF(J57&gt;0,J57+I58,0)</f>
        <v>0</v>
      </c>
      <c r="K58" s="10">
        <f t="shared" ref="K58" si="146">IF(K57&gt;0,K57+J58,0)</f>
        <v>0</v>
      </c>
      <c r="L58" s="10">
        <f t="shared" ref="L58" si="147">IF(L57&gt;0,L57+K58,0)</f>
        <v>0</v>
      </c>
      <c r="M58" s="10">
        <f t="shared" ref="M58" si="148">IF(M57&gt;0,M57+L58,0)</f>
        <v>122.45057300000001</v>
      </c>
      <c r="N58" s="10">
        <f t="shared" ref="N58" si="149">IF(N57&gt;0,N57+M58,0)</f>
        <v>0</v>
      </c>
      <c r="O58" s="10">
        <f t="shared" ref="O58" si="150">IF(O57&gt;0,O57+N58,0)</f>
        <v>0</v>
      </c>
    </row>
    <row r="59" spans="1:15">
      <c r="A59" s="154">
        <v>31</v>
      </c>
      <c r="B59" s="159" t="str">
        <f>PPU!B169</f>
        <v>APARELHOS ELÉTRICOS, HIDRÁULICOS E A GÁS.</v>
      </c>
      <c r="C59" s="155">
        <f>PPU!J172</f>
        <v>113.56273400000001</v>
      </c>
      <c r="D59" s="157">
        <f t="shared" ref="D59" si="151">F59-E59+1</f>
        <v>1</v>
      </c>
      <c r="E59" s="158">
        <v>8</v>
      </c>
      <c r="F59" s="158">
        <v>8</v>
      </c>
      <c r="G59" s="9" t="s">
        <v>20</v>
      </c>
      <c r="H59" s="10">
        <f t="shared" si="16"/>
        <v>0</v>
      </c>
      <c r="I59" s="10">
        <f t="shared" si="16"/>
        <v>0</v>
      </c>
      <c r="J59" s="10">
        <f t="shared" si="16"/>
        <v>0</v>
      </c>
      <c r="K59" s="10">
        <f t="shared" si="16"/>
        <v>0</v>
      </c>
      <c r="L59" s="10">
        <f t="shared" si="16"/>
        <v>0</v>
      </c>
      <c r="M59" s="10">
        <f t="shared" si="16"/>
        <v>0</v>
      </c>
      <c r="N59" s="10">
        <f t="shared" si="16"/>
        <v>0</v>
      </c>
      <c r="O59" s="10">
        <f t="shared" si="16"/>
        <v>113.56273400000001</v>
      </c>
    </row>
    <row r="60" spans="1:15">
      <c r="A60" s="154"/>
      <c r="B60" s="160"/>
      <c r="C60" s="156"/>
      <c r="D60" s="154"/>
      <c r="E60" s="154"/>
      <c r="F60" s="154"/>
      <c r="G60" s="9" t="s">
        <v>25</v>
      </c>
      <c r="H60" s="10">
        <f>IF(H59&gt;0,H59,0)</f>
        <v>0</v>
      </c>
      <c r="I60" s="10">
        <f>IF(I59&gt;0,I59+H60,0)</f>
        <v>0</v>
      </c>
      <c r="J60" s="10">
        <f t="shared" ref="J60" si="152">IF(J59&gt;0,J59+I60,0)</f>
        <v>0</v>
      </c>
      <c r="K60" s="10">
        <f t="shared" ref="K60" si="153">IF(K59&gt;0,K59+J60,0)</f>
        <v>0</v>
      </c>
      <c r="L60" s="10">
        <f t="shared" ref="L60" si="154">IF(L59&gt;0,L59+K60,0)</f>
        <v>0</v>
      </c>
      <c r="M60" s="10">
        <f t="shared" ref="M60" si="155">IF(M59&gt;0,M59+L60,0)</f>
        <v>0</v>
      </c>
      <c r="N60" s="10">
        <f t="shared" ref="N60" si="156">IF(N59&gt;0,N59+M60,0)</f>
        <v>0</v>
      </c>
      <c r="O60" s="10">
        <f t="shared" ref="O60" si="157">IF(O59&gt;0,O59+N60,0)</f>
        <v>113.56273400000001</v>
      </c>
    </row>
    <row r="61" spans="1:15">
      <c r="A61" s="154">
        <v>32</v>
      </c>
      <c r="B61" s="159" t="str">
        <f>PPU!B173</f>
        <v>APARELHOS E METAIS HIDRÁULICOS</v>
      </c>
      <c r="C61" s="155">
        <f>PPU!J191</f>
        <v>2230.9498667599996</v>
      </c>
      <c r="D61" s="157">
        <f t="shared" ref="D61" si="158">F61-E61+1</f>
        <v>2</v>
      </c>
      <c r="E61" s="158">
        <v>7</v>
      </c>
      <c r="F61" s="158">
        <v>8</v>
      </c>
      <c r="G61" s="9" t="s">
        <v>20</v>
      </c>
      <c r="H61" s="10">
        <f t="shared" si="16"/>
        <v>0</v>
      </c>
      <c r="I61" s="10">
        <f t="shared" si="16"/>
        <v>0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0">
        <f t="shared" si="16"/>
        <v>0</v>
      </c>
      <c r="N61" s="10">
        <f t="shared" si="16"/>
        <v>1115.4749333799998</v>
      </c>
      <c r="O61" s="10">
        <f t="shared" si="16"/>
        <v>1115.4749333799998</v>
      </c>
    </row>
    <row r="62" spans="1:15">
      <c r="A62" s="154"/>
      <c r="B62" s="160"/>
      <c r="C62" s="156"/>
      <c r="D62" s="154"/>
      <c r="E62" s="154"/>
      <c r="F62" s="154"/>
      <c r="G62" s="9" t="s">
        <v>25</v>
      </c>
      <c r="H62" s="10">
        <f>IF(H61&gt;0,H61,0)</f>
        <v>0</v>
      </c>
      <c r="I62" s="10">
        <f>IF(I61&gt;0,I61+H62,0)</f>
        <v>0</v>
      </c>
      <c r="J62" s="10">
        <f t="shared" ref="J62" si="159">IF(J61&gt;0,J61+I62,0)</f>
        <v>0</v>
      </c>
      <c r="K62" s="10">
        <f t="shared" ref="K62" si="160">IF(K61&gt;0,K61+J62,0)</f>
        <v>0</v>
      </c>
      <c r="L62" s="10">
        <f t="shared" ref="L62" si="161">IF(L61&gt;0,L61+K62,0)</f>
        <v>0</v>
      </c>
      <c r="M62" s="10">
        <f t="shared" ref="M62" si="162">IF(M61&gt;0,M61+L62,0)</f>
        <v>0</v>
      </c>
      <c r="N62" s="10">
        <f t="shared" ref="N62" si="163">IF(N61&gt;0,N61+M62,0)</f>
        <v>1115.4749333799998</v>
      </c>
      <c r="O62" s="10">
        <f t="shared" ref="O62" si="164">IF(O61&gt;0,O61+N62,0)</f>
        <v>2230.9498667599996</v>
      </c>
    </row>
    <row r="63" spans="1:15">
      <c r="A63" s="154">
        <v>34</v>
      </c>
      <c r="B63" s="159" t="str">
        <f>PPU!B192</f>
        <v>TUBULAÇÃO E CONDUTORES PARA LÍQUIDOS E GASES.</v>
      </c>
      <c r="C63" s="155">
        <f>PPU!J204</f>
        <v>3560.9256030000001</v>
      </c>
      <c r="D63" s="157">
        <f t="shared" ref="D63" si="165">F63-E63+1</f>
        <v>1</v>
      </c>
      <c r="E63" s="158">
        <v>5</v>
      </c>
      <c r="F63" s="158">
        <v>5</v>
      </c>
      <c r="G63" s="9" t="s">
        <v>20</v>
      </c>
      <c r="H63" s="10">
        <f t="shared" si="16"/>
        <v>0</v>
      </c>
      <c r="I63" s="10">
        <f t="shared" si="16"/>
        <v>0</v>
      </c>
      <c r="J63" s="10">
        <f t="shared" si="16"/>
        <v>0</v>
      </c>
      <c r="K63" s="10">
        <f t="shared" si="16"/>
        <v>0</v>
      </c>
      <c r="L63" s="10">
        <f t="shared" si="16"/>
        <v>3560.9256030000001</v>
      </c>
      <c r="M63" s="10">
        <f t="shared" si="16"/>
        <v>0</v>
      </c>
      <c r="N63" s="10">
        <f t="shared" si="16"/>
        <v>0</v>
      </c>
      <c r="O63" s="10">
        <f t="shared" si="16"/>
        <v>0</v>
      </c>
    </row>
    <row r="64" spans="1:15">
      <c r="A64" s="154"/>
      <c r="B64" s="160"/>
      <c r="C64" s="156"/>
      <c r="D64" s="154"/>
      <c r="E64" s="154"/>
      <c r="F64" s="154"/>
      <c r="G64" s="9" t="s">
        <v>25</v>
      </c>
      <c r="H64" s="10">
        <f>IF(H63&gt;0,H63,0)</f>
        <v>0</v>
      </c>
      <c r="I64" s="10">
        <f>IF(I63&gt;0,I63+H64,0)</f>
        <v>0</v>
      </c>
      <c r="J64" s="10">
        <f t="shared" ref="J64" si="166">IF(J63&gt;0,J63+I64,0)</f>
        <v>0</v>
      </c>
      <c r="K64" s="10">
        <f t="shared" ref="K64" si="167">IF(K63&gt;0,K63+J64,0)</f>
        <v>0</v>
      </c>
      <c r="L64" s="10">
        <f t="shared" ref="L64" si="168">IF(L63&gt;0,L63+K64,0)</f>
        <v>3560.9256030000001</v>
      </c>
      <c r="M64" s="10">
        <f t="shared" ref="M64" si="169">IF(M63&gt;0,M63+L64,0)</f>
        <v>0</v>
      </c>
      <c r="N64" s="10">
        <f t="shared" ref="N64" si="170">IF(N63&gt;0,N63+M64,0)</f>
        <v>0</v>
      </c>
      <c r="O64" s="10">
        <f t="shared" ref="O64" si="171">IF(O63&gt;0,O63+N64,0)</f>
        <v>0</v>
      </c>
    </row>
    <row r="65" spans="1:15">
      <c r="A65" s="154">
        <v>35</v>
      </c>
      <c r="B65" s="159" t="str">
        <f>PPU!B205</f>
        <v>VÁLVULAS E APARELHOS DE MEDIÇÃO E CONTROLE PARA LÍQUIDOS E GASES</v>
      </c>
      <c r="C65" s="155">
        <f>PPU!J210</f>
        <v>559.12251900000001</v>
      </c>
      <c r="D65" s="157">
        <f t="shared" ref="D65" si="172">F65-E65+1</f>
        <v>2</v>
      </c>
      <c r="E65" s="158">
        <v>6</v>
      </c>
      <c r="F65" s="158">
        <v>7</v>
      </c>
      <c r="G65" s="9" t="s">
        <v>20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10">
        <f t="shared" si="16"/>
        <v>279.56125950000001</v>
      </c>
      <c r="N65" s="10">
        <f t="shared" si="16"/>
        <v>279.56125950000001</v>
      </c>
      <c r="O65" s="10">
        <f t="shared" si="16"/>
        <v>0</v>
      </c>
    </row>
    <row r="66" spans="1:15">
      <c r="A66" s="154"/>
      <c r="B66" s="160"/>
      <c r="C66" s="156"/>
      <c r="D66" s="154"/>
      <c r="E66" s="154"/>
      <c r="F66" s="154"/>
      <c r="G66" s="9" t="s">
        <v>25</v>
      </c>
      <c r="H66" s="10">
        <f>IF(H65&gt;0,H65,0)</f>
        <v>0</v>
      </c>
      <c r="I66" s="10">
        <f>IF(I65&gt;0,I65+H66,0)</f>
        <v>0</v>
      </c>
      <c r="J66" s="10">
        <f t="shared" ref="J66" si="173">IF(J65&gt;0,J65+I66,0)</f>
        <v>0</v>
      </c>
      <c r="K66" s="10">
        <f t="shared" ref="K66" si="174">IF(K65&gt;0,K65+J66,0)</f>
        <v>0</v>
      </c>
      <c r="L66" s="10">
        <f t="shared" ref="L66" si="175">IF(L65&gt;0,L65+K66,0)</f>
        <v>0</v>
      </c>
      <c r="M66" s="10">
        <f t="shared" ref="M66" si="176">IF(M65&gt;0,M65+L66,0)</f>
        <v>279.56125950000001</v>
      </c>
      <c r="N66" s="10">
        <f t="shared" ref="N66" si="177">IF(N65&gt;0,N65+M66,0)</f>
        <v>559.12251900000001</v>
      </c>
      <c r="O66" s="10">
        <f t="shared" ref="O66" si="178">IF(O65&gt;0,O65+N66,0)</f>
        <v>0</v>
      </c>
    </row>
    <row r="67" spans="1:15">
      <c r="A67" s="154">
        <v>36</v>
      </c>
      <c r="B67" s="159" t="str">
        <f>PPU!B211</f>
        <v>RESERVATÓRIO E TANQUE PARA LÍQUIDOS E GASES</v>
      </c>
      <c r="C67" s="155">
        <f>PPU!J216</f>
        <v>657.42964000000006</v>
      </c>
      <c r="D67" s="157">
        <f t="shared" ref="D67" si="179">F67-E67+1</f>
        <v>1</v>
      </c>
      <c r="E67" s="158">
        <v>6</v>
      </c>
      <c r="F67" s="158">
        <v>6</v>
      </c>
      <c r="G67" s="9" t="s">
        <v>20</v>
      </c>
      <c r="H67" s="10">
        <f t="shared" si="16"/>
        <v>0</v>
      </c>
      <c r="I67" s="10">
        <f t="shared" si="16"/>
        <v>0</v>
      </c>
      <c r="J67" s="10">
        <f t="shared" si="16"/>
        <v>0</v>
      </c>
      <c r="K67" s="10">
        <f t="shared" si="16"/>
        <v>0</v>
      </c>
      <c r="L67" s="10">
        <f t="shared" si="16"/>
        <v>0</v>
      </c>
      <c r="M67" s="10">
        <f t="shared" si="16"/>
        <v>657.42964000000006</v>
      </c>
      <c r="N67" s="10">
        <f t="shared" si="16"/>
        <v>0</v>
      </c>
      <c r="O67" s="10">
        <f t="shared" si="16"/>
        <v>0</v>
      </c>
    </row>
    <row r="68" spans="1:15">
      <c r="A68" s="154"/>
      <c r="B68" s="160"/>
      <c r="C68" s="156"/>
      <c r="D68" s="154"/>
      <c r="E68" s="154"/>
      <c r="F68" s="154"/>
      <c r="G68" s="9" t="s">
        <v>25</v>
      </c>
      <c r="H68" s="10">
        <f>IF(H67&gt;0,H67,0)</f>
        <v>0</v>
      </c>
      <c r="I68" s="10">
        <f>IF(I67&gt;0,I67+H68,0)</f>
        <v>0</v>
      </c>
      <c r="J68" s="10">
        <f t="shared" ref="J68" si="180">IF(J67&gt;0,J67+I68,0)</f>
        <v>0</v>
      </c>
      <c r="K68" s="10">
        <f t="shared" ref="K68" si="181">IF(K67&gt;0,K67+J68,0)</f>
        <v>0</v>
      </c>
      <c r="L68" s="10">
        <f t="shared" ref="L68" si="182">IF(L67&gt;0,L67+K68,0)</f>
        <v>0</v>
      </c>
      <c r="M68" s="10">
        <f t="shared" ref="M68" si="183">IF(M67&gt;0,M67+L68,0)</f>
        <v>657.42964000000006</v>
      </c>
      <c r="N68" s="10">
        <f t="shared" ref="N68" si="184">IF(N67&gt;0,N67+M68,0)</f>
        <v>0</v>
      </c>
      <c r="O68" s="10">
        <f t="shared" ref="O68" si="185">IF(O67&gt;0,O67+N68,0)</f>
        <v>0</v>
      </c>
    </row>
    <row r="69" spans="1:15">
      <c r="A69" s="154">
        <v>37</v>
      </c>
      <c r="B69" s="159" t="str">
        <f>PPU!B217</f>
        <v>CAIXA, RALO, GRELHA E ACESSÓRIO HIDRÁULICO</v>
      </c>
      <c r="C69" s="155">
        <f>PPU!J226</f>
        <v>13005.662089000001</v>
      </c>
      <c r="D69" s="157">
        <f t="shared" ref="D69" si="186">F69-E69+1</f>
        <v>2</v>
      </c>
      <c r="E69" s="158">
        <v>6</v>
      </c>
      <c r="F69" s="158">
        <v>7</v>
      </c>
      <c r="G69" s="9" t="s">
        <v>20</v>
      </c>
      <c r="H69" s="10">
        <f t="shared" si="16"/>
        <v>0</v>
      </c>
      <c r="I69" s="10">
        <f t="shared" si="16"/>
        <v>0</v>
      </c>
      <c r="J69" s="10">
        <f t="shared" si="16"/>
        <v>0</v>
      </c>
      <c r="K69" s="10">
        <f t="shared" si="16"/>
        <v>0</v>
      </c>
      <c r="L69" s="10">
        <f t="shared" si="16"/>
        <v>0</v>
      </c>
      <c r="M69" s="10">
        <f t="shared" si="16"/>
        <v>6502.8310445000006</v>
      </c>
      <c r="N69" s="10">
        <f t="shared" si="16"/>
        <v>6502.8310445000006</v>
      </c>
      <c r="O69" s="10">
        <f t="shared" si="16"/>
        <v>0</v>
      </c>
    </row>
    <row r="70" spans="1:15">
      <c r="A70" s="154"/>
      <c r="B70" s="160"/>
      <c r="C70" s="156"/>
      <c r="D70" s="154"/>
      <c r="E70" s="154"/>
      <c r="F70" s="154"/>
      <c r="G70" s="9" t="s">
        <v>25</v>
      </c>
      <c r="H70" s="10">
        <f>IF(H69&gt;0,H69,0)</f>
        <v>0</v>
      </c>
      <c r="I70" s="10">
        <f>IF(I69&gt;0,I69+H70,0)</f>
        <v>0</v>
      </c>
      <c r="J70" s="10">
        <f t="shared" ref="J70" si="187">IF(J69&gt;0,J69+I70,0)</f>
        <v>0</v>
      </c>
      <c r="K70" s="10">
        <f t="shared" ref="K70" si="188">IF(K69&gt;0,K69+J70,0)</f>
        <v>0</v>
      </c>
      <c r="L70" s="10">
        <f t="shared" ref="L70" si="189">IF(L69&gt;0,L69+K70,0)</f>
        <v>0</v>
      </c>
      <c r="M70" s="10">
        <f t="shared" ref="M70" si="190">IF(M69&gt;0,M69+L70,0)</f>
        <v>6502.8310445000006</v>
      </c>
      <c r="N70" s="10">
        <f t="shared" ref="N70" si="191">IF(N69&gt;0,N69+M70,0)</f>
        <v>13005.662089000001</v>
      </c>
      <c r="O70" s="10">
        <f t="shared" ref="O70" si="192">IF(O69&gt;0,O69+N70,0)</f>
        <v>0</v>
      </c>
    </row>
    <row r="71" spans="1:15">
      <c r="A71" s="22"/>
      <c r="B71" s="161" t="s">
        <v>26</v>
      </c>
      <c r="C71" s="163">
        <f>SUM(C9:C70)</f>
        <v>114649.88983659049</v>
      </c>
      <c r="D71" s="165">
        <f t="shared" ref="D71" si="193">F71-E71+1</f>
        <v>8</v>
      </c>
      <c r="E71" s="167">
        <v>1</v>
      </c>
      <c r="F71" s="167">
        <v>8</v>
      </c>
      <c r="G71" s="21" t="s">
        <v>20</v>
      </c>
      <c r="H71" s="24">
        <f>H9+H11+H13+H15+H17+H19+H21+H23+H25+H27+H29+H31+H33+H35+H37+H39+H41+H43+H45+H47+H49+H51+H53+H55+H57+H59+H61+H63+H65+H67+H69</f>
        <v>12233.501944837893</v>
      </c>
      <c r="I71" s="24">
        <f t="shared" ref="I71:O71" si="194">I9+I11+I13+I15+I17+I19+I21+I23+I25+I27+I29+I31+I33+I35+I37+I39+I41+I43+I45+I47+I49+I51+I53+I55+I57+I59+I61+I63+I65+I67+I69</f>
        <v>7742.1175245758914</v>
      </c>
      <c r="J71" s="24">
        <f t="shared" si="194"/>
        <v>10421.283078985893</v>
      </c>
      <c r="K71" s="24">
        <f t="shared" si="194"/>
        <v>12404.106706609893</v>
      </c>
      <c r="L71" s="24">
        <f t="shared" si="194"/>
        <v>15663.48865833789</v>
      </c>
      <c r="M71" s="24">
        <f t="shared" si="194"/>
        <v>35156.602335782991</v>
      </c>
      <c r="N71" s="24">
        <f t="shared" si="194"/>
        <v>14214.593940230003</v>
      </c>
      <c r="O71" s="24">
        <f t="shared" si="194"/>
        <v>6814.1956472300008</v>
      </c>
    </row>
    <row r="72" spans="1:15">
      <c r="A72" s="23"/>
      <c r="B72" s="162"/>
      <c r="C72" s="164"/>
      <c r="D72" s="166"/>
      <c r="E72" s="167"/>
      <c r="F72" s="167"/>
      <c r="G72" s="21" t="s">
        <v>25</v>
      </c>
      <c r="H72" s="24">
        <f>H71</f>
        <v>12233.501944837893</v>
      </c>
      <c r="I72" s="24">
        <f>H72+I71</f>
        <v>19975.619469413785</v>
      </c>
      <c r="J72" s="24">
        <f t="shared" ref="J72:M72" si="195">I72+J71</f>
        <v>30396.902548399677</v>
      </c>
      <c r="K72" s="24">
        <f t="shared" si="195"/>
        <v>42801.009255009572</v>
      </c>
      <c r="L72" s="24">
        <f t="shared" si="195"/>
        <v>58464.497913347463</v>
      </c>
      <c r="M72" s="24">
        <f t="shared" si="195"/>
        <v>93621.100249130453</v>
      </c>
      <c r="N72" s="24">
        <f t="shared" ref="N72" si="196">M72+N71</f>
        <v>107835.69418936045</v>
      </c>
      <c r="O72" s="24">
        <f t="shared" ref="O72" si="197">N72+O71</f>
        <v>114649.88983659045</v>
      </c>
    </row>
  </sheetData>
  <mergeCells count="202">
    <mergeCell ref="D69:D70"/>
    <mergeCell ref="E69:E70"/>
    <mergeCell ref="F69:F70"/>
    <mergeCell ref="D65:D66"/>
    <mergeCell ref="E65:E66"/>
    <mergeCell ref="F65:F66"/>
    <mergeCell ref="D67:D68"/>
    <mergeCell ref="E67:E68"/>
    <mergeCell ref="F67:F68"/>
    <mergeCell ref="D63:D64"/>
    <mergeCell ref="E63:E64"/>
    <mergeCell ref="F63:F64"/>
    <mergeCell ref="D59:D60"/>
    <mergeCell ref="E59:E60"/>
    <mergeCell ref="F59:F60"/>
    <mergeCell ref="D61:D62"/>
    <mergeCell ref="E61:E62"/>
    <mergeCell ref="F61:F62"/>
    <mergeCell ref="D55:D56"/>
    <mergeCell ref="E55:E56"/>
    <mergeCell ref="F55:F56"/>
    <mergeCell ref="D57:D58"/>
    <mergeCell ref="E57:E58"/>
    <mergeCell ref="F57:F58"/>
    <mergeCell ref="E51:E52"/>
    <mergeCell ref="F51:F52"/>
    <mergeCell ref="D53:D54"/>
    <mergeCell ref="E53:E54"/>
    <mergeCell ref="F53:F54"/>
    <mergeCell ref="D47:D48"/>
    <mergeCell ref="E47:E48"/>
    <mergeCell ref="F47:F48"/>
    <mergeCell ref="D49:D50"/>
    <mergeCell ref="E49:E50"/>
    <mergeCell ref="F49:F50"/>
    <mergeCell ref="F41:F42"/>
    <mergeCell ref="D43:D44"/>
    <mergeCell ref="E43:E44"/>
    <mergeCell ref="F43:F44"/>
    <mergeCell ref="D45:D46"/>
    <mergeCell ref="E45:E46"/>
    <mergeCell ref="F45:F46"/>
    <mergeCell ref="D39:D40"/>
    <mergeCell ref="E39:E40"/>
    <mergeCell ref="F39:F40"/>
    <mergeCell ref="F33:F34"/>
    <mergeCell ref="D35:D36"/>
    <mergeCell ref="E35:E36"/>
    <mergeCell ref="F35:F36"/>
    <mergeCell ref="D37:D38"/>
    <mergeCell ref="E37:E38"/>
    <mergeCell ref="F37:F38"/>
    <mergeCell ref="F27:F28"/>
    <mergeCell ref="D29:D30"/>
    <mergeCell ref="E29:E30"/>
    <mergeCell ref="F29:F30"/>
    <mergeCell ref="D31:D32"/>
    <mergeCell ref="E31:E32"/>
    <mergeCell ref="F31:F32"/>
    <mergeCell ref="F21:F22"/>
    <mergeCell ref="D23:D24"/>
    <mergeCell ref="E23:E24"/>
    <mergeCell ref="F23:F24"/>
    <mergeCell ref="D25:D26"/>
    <mergeCell ref="E25:E26"/>
    <mergeCell ref="F25:F26"/>
    <mergeCell ref="D21:D22"/>
    <mergeCell ref="E21:E22"/>
    <mergeCell ref="D27:D28"/>
    <mergeCell ref="E27:E28"/>
    <mergeCell ref="D33:D34"/>
    <mergeCell ref="E33:E34"/>
    <mergeCell ref="D41:D42"/>
    <mergeCell ref="E41:E42"/>
    <mergeCell ref="D51:D52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A41:A42"/>
    <mergeCell ref="B39:B40"/>
    <mergeCell ref="C39:C40"/>
    <mergeCell ref="B41:B42"/>
    <mergeCell ref="C41:C42"/>
    <mergeCell ref="A29:A30"/>
    <mergeCell ref="A31:A32"/>
    <mergeCell ref="A33:A34"/>
    <mergeCell ref="B29:B30"/>
    <mergeCell ref="B31:B32"/>
    <mergeCell ref="B33:B34"/>
    <mergeCell ref="A35:A36"/>
    <mergeCell ref="B37:B38"/>
    <mergeCell ref="C37:C38"/>
    <mergeCell ref="A21:A22"/>
    <mergeCell ref="A23:A24"/>
    <mergeCell ref="A25:A26"/>
    <mergeCell ref="A27:A28"/>
    <mergeCell ref="B71:B72"/>
    <mergeCell ref="C71:C72"/>
    <mergeCell ref="D71:D72"/>
    <mergeCell ref="E71:E72"/>
    <mergeCell ref="F71:F72"/>
    <mergeCell ref="C21:C22"/>
    <mergeCell ref="C23:C24"/>
    <mergeCell ref="C25:C26"/>
    <mergeCell ref="C27:C28"/>
    <mergeCell ref="C35:C36"/>
    <mergeCell ref="B21:B22"/>
    <mergeCell ref="B23:B24"/>
    <mergeCell ref="B25:B26"/>
    <mergeCell ref="B27:B28"/>
    <mergeCell ref="B35:B36"/>
    <mergeCell ref="C29:C30"/>
    <mergeCell ref="C31:C32"/>
    <mergeCell ref="C33:C34"/>
    <mergeCell ref="A37:A38"/>
    <mergeCell ref="F19:F20"/>
    <mergeCell ref="A19:A20"/>
    <mergeCell ref="C19:C20"/>
    <mergeCell ref="D19:D20"/>
    <mergeCell ref="E19:E20"/>
    <mergeCell ref="B19:B20"/>
    <mergeCell ref="F17:F18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B15:B16"/>
    <mergeCell ref="B17:B18"/>
    <mergeCell ref="A13:A14"/>
    <mergeCell ref="C13:C14"/>
    <mergeCell ref="D13:D14"/>
    <mergeCell ref="E13:E14"/>
    <mergeCell ref="F13:F14"/>
    <mergeCell ref="B13:B14"/>
    <mergeCell ref="A9:A10"/>
    <mergeCell ref="C11:C12"/>
    <mergeCell ref="D11:D12"/>
    <mergeCell ref="E11:E12"/>
    <mergeCell ref="F11:F12"/>
    <mergeCell ref="A11:A12"/>
    <mergeCell ref="B11:B12"/>
    <mergeCell ref="B9:B10"/>
    <mergeCell ref="C9:C10"/>
    <mergeCell ref="D9:D10"/>
    <mergeCell ref="E9:E10"/>
    <mergeCell ref="F9:F10"/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</mergeCells>
  <conditionalFormatting sqref="H6:O8">
    <cfRule type="cellIs" dxfId="26" priority="35" operator="equal">
      <formula>1</formula>
    </cfRule>
  </conditionalFormatting>
  <conditionalFormatting sqref="H6:O6">
    <cfRule type="cellIs" dxfId="25" priority="34" operator="equal">
      <formula>1</formula>
    </cfRule>
  </conditionalFormatting>
  <conditionalFormatting sqref="H7:O8">
    <cfRule type="cellIs" dxfId="24" priority="33" operator="equal">
      <formula>1</formula>
    </cfRule>
  </conditionalFormatting>
  <conditionalFormatting sqref="H9:O24">
    <cfRule type="cellIs" dxfId="23" priority="32" operator="notEqual">
      <formula>0</formula>
    </cfRule>
  </conditionalFormatting>
  <conditionalFormatting sqref="H25:O26">
    <cfRule type="cellIs" dxfId="22" priority="31" operator="notEqual">
      <formula>0</formula>
    </cfRule>
  </conditionalFormatting>
  <conditionalFormatting sqref="H27:O28">
    <cfRule type="cellIs" dxfId="21" priority="30" operator="notEqual">
      <formula>0</formula>
    </cfRule>
  </conditionalFormatting>
  <conditionalFormatting sqref="H29:O30">
    <cfRule type="cellIs" dxfId="20" priority="29" operator="notEqual">
      <formula>0</formula>
    </cfRule>
  </conditionalFormatting>
  <conditionalFormatting sqref="H31:O32">
    <cfRule type="cellIs" dxfId="19" priority="28" operator="notEqual">
      <formula>0</formula>
    </cfRule>
  </conditionalFormatting>
  <conditionalFormatting sqref="H33:O34">
    <cfRule type="cellIs" dxfId="18" priority="27" operator="notEqual">
      <formula>0</formula>
    </cfRule>
  </conditionalFormatting>
  <conditionalFormatting sqref="H35:O36">
    <cfRule type="cellIs" dxfId="17" priority="26" operator="notEqual">
      <formula>0</formula>
    </cfRule>
  </conditionalFormatting>
  <conditionalFormatting sqref="H37:O38">
    <cfRule type="cellIs" dxfId="16" priority="25" operator="notEqual">
      <formula>0</formula>
    </cfRule>
  </conditionalFormatting>
  <conditionalFormatting sqref="H39:O40">
    <cfRule type="cellIs" dxfId="15" priority="23" operator="notEqual">
      <formula>0</formula>
    </cfRule>
  </conditionalFormatting>
  <conditionalFormatting sqref="H41:O42">
    <cfRule type="cellIs" dxfId="14" priority="21" operator="notEqual">
      <formula>0</formula>
    </cfRule>
  </conditionalFormatting>
  <conditionalFormatting sqref="H43:O44">
    <cfRule type="cellIs" dxfId="13" priority="20" operator="notEqual">
      <formula>0</formula>
    </cfRule>
  </conditionalFormatting>
  <conditionalFormatting sqref="H45:O46">
    <cfRule type="cellIs" dxfId="12" priority="19" operator="notEqual">
      <formula>0</formula>
    </cfRule>
  </conditionalFormatting>
  <conditionalFormatting sqref="H47:O48">
    <cfRule type="cellIs" dxfId="11" priority="17" operator="notEqual">
      <formula>0</formula>
    </cfRule>
  </conditionalFormatting>
  <conditionalFormatting sqref="H49:O50">
    <cfRule type="cellIs" dxfId="10" priority="16" operator="notEqual">
      <formula>0</formula>
    </cfRule>
  </conditionalFormatting>
  <conditionalFormatting sqref="H51:O52">
    <cfRule type="cellIs" dxfId="9" priority="15" operator="notEqual">
      <formula>0</formula>
    </cfRule>
  </conditionalFormatting>
  <conditionalFormatting sqref="H53:O54">
    <cfRule type="cellIs" dxfId="8" priority="14" operator="notEqual">
      <formula>0</formula>
    </cfRule>
  </conditionalFormatting>
  <conditionalFormatting sqref="H55:O56">
    <cfRule type="cellIs" dxfId="7" priority="13" operator="notEqual">
      <formula>0</formula>
    </cfRule>
  </conditionalFormatting>
  <conditionalFormatting sqref="H57:O58">
    <cfRule type="cellIs" dxfId="6" priority="12" operator="notEqual">
      <formula>0</formula>
    </cfRule>
  </conditionalFormatting>
  <conditionalFormatting sqref="H59:O60">
    <cfRule type="cellIs" dxfId="5" priority="11" operator="notEqual">
      <formula>0</formula>
    </cfRule>
  </conditionalFormatting>
  <conditionalFormatting sqref="H61:O62">
    <cfRule type="cellIs" dxfId="4" priority="10" operator="notEqual">
      <formula>0</formula>
    </cfRule>
  </conditionalFormatting>
  <conditionalFormatting sqref="H63:O64">
    <cfRule type="cellIs" dxfId="3" priority="8" operator="notEqual">
      <formula>0</formula>
    </cfRule>
  </conditionalFormatting>
  <conditionalFormatting sqref="H65:O66">
    <cfRule type="cellIs" dxfId="2" priority="7" operator="notEqual">
      <formula>0</formula>
    </cfRule>
  </conditionalFormatting>
  <conditionalFormatting sqref="H67:O68">
    <cfRule type="cellIs" dxfId="1" priority="6" operator="notEqual">
      <formula>0</formula>
    </cfRule>
  </conditionalFormatting>
  <conditionalFormatting sqref="H69:O70">
    <cfRule type="cellIs" dxfId="0" priority="5" operator="notEqual">
      <formula>0</formula>
    </cfRule>
  </conditionalFormatting>
  <pageMargins left="0.25" right="0.25" top="0.75" bottom="0.75" header="0.3" footer="0.3"/>
  <pageSetup paperSize="9" scale="5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PPU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Alexandre</cp:lastModifiedBy>
  <cp:lastPrinted>2021-03-01T19:16:07Z</cp:lastPrinted>
  <dcterms:created xsi:type="dcterms:W3CDTF">2018-04-06T14:41:31Z</dcterms:created>
  <dcterms:modified xsi:type="dcterms:W3CDTF">2021-03-01T19:42:05Z</dcterms:modified>
</cp:coreProperties>
</file>